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1505" tabRatio="599" activeTab="1"/>
  </bookViews>
  <sheets>
    <sheet name="2017 " sheetId="1" r:id="rId1"/>
    <sheet name="2018" sheetId="2" r:id="rId2"/>
    <sheet name="2019" sheetId="3" r:id="rId3"/>
  </sheets>
  <definedNames/>
  <calcPr fullCalcOnLoad="1"/>
</workbook>
</file>

<file path=xl/sharedStrings.xml><?xml version="1.0" encoding="utf-8"?>
<sst xmlns="http://schemas.openxmlformats.org/spreadsheetml/2006/main" count="545" uniqueCount="168">
  <si>
    <t>Поселение</t>
  </si>
  <si>
    <t>№</t>
  </si>
  <si>
    <t>А1</t>
  </si>
  <si>
    <t>А2</t>
  </si>
  <si>
    <t>А3</t>
  </si>
  <si>
    <t>В1</t>
  </si>
  <si>
    <t>В2</t>
  </si>
  <si>
    <t>В3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</si>
  <si>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</si>
  <si>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</si>
  <si>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</si>
  <si>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</si>
  <si>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</si>
  <si>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</si>
  <si>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</si>
  <si>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1.1.</t>
  </si>
  <si>
    <t>1.2.</t>
  </si>
  <si>
    <t>3.1.</t>
  </si>
  <si>
    <t>3.2.</t>
  </si>
  <si>
    <t>3.3.</t>
  </si>
  <si>
    <t>3.4.</t>
  </si>
  <si>
    <t>3.5.</t>
  </si>
  <si>
    <t>3.6.</t>
  </si>
  <si>
    <t>3.7.</t>
  </si>
  <si>
    <t>НДФЛ     , гр.3</t>
  </si>
  <si>
    <t>ЕСХН          гр.4.</t>
  </si>
  <si>
    <t>4.1.</t>
  </si>
  <si>
    <t>4.2.</t>
  </si>
  <si>
    <t>4.3.</t>
  </si>
  <si>
    <t>4.4.</t>
  </si>
  <si>
    <t>4.5.</t>
  </si>
  <si>
    <t>4.6.</t>
  </si>
  <si>
    <t>4.7.</t>
  </si>
  <si>
    <t>ННИФЛ                    гр.5.</t>
  </si>
  <si>
    <t>5.1.</t>
  </si>
  <si>
    <t>5.2.</t>
  </si>
  <si>
    <t>5.3.</t>
  </si>
  <si>
    <t>5.4.</t>
  </si>
  <si>
    <t>5.5.</t>
  </si>
  <si>
    <t>5.6.</t>
  </si>
  <si>
    <t>5.7.</t>
  </si>
  <si>
    <t>ЗН        гр.6.</t>
  </si>
  <si>
    <t>6.1.</t>
  </si>
  <si>
    <t>6.2.</t>
  </si>
  <si>
    <t>6.3.</t>
  </si>
  <si>
    <t>6.4.</t>
  </si>
  <si>
    <t>6.5.</t>
  </si>
  <si>
    <t>6.6.</t>
  </si>
  <si>
    <t>6.7.</t>
  </si>
  <si>
    <t>таблица 1</t>
  </si>
  <si>
    <r>
      <t>К</t>
    </r>
    <r>
      <rPr>
        <b/>
        <vertAlign val="superscript"/>
        <sz val="8"/>
        <rFont val="Arial"/>
        <family val="2"/>
      </rPr>
      <t>ТР</t>
    </r>
    <r>
      <rPr>
        <b/>
        <vertAlign val="superscript"/>
        <sz val="9"/>
        <rFont val="Arial"/>
        <family val="2"/>
      </rPr>
      <t xml:space="preserve">          </t>
    </r>
    <r>
      <rPr>
        <b/>
        <vertAlign val="superscript"/>
        <sz val="10"/>
        <rFont val="Arial"/>
        <family val="2"/>
      </rPr>
      <t>(Общий коэффициент доступности для всех поселений)</t>
    </r>
  </si>
  <si>
    <r>
      <t xml:space="preserve">НП                </t>
    </r>
    <r>
      <rPr>
        <sz val="7"/>
        <rFont val="Arial Cyr"/>
        <family val="0"/>
      </rPr>
      <t>(пок-ль ср/душевых налоговых доходов всех поселений района</t>
    </r>
    <r>
      <rPr>
        <b/>
        <sz val="7"/>
        <rFont val="Arial Cyr"/>
        <family val="0"/>
      </rPr>
      <t xml:space="preserve">) </t>
    </r>
  </si>
  <si>
    <r>
      <t>РПi</t>
    </r>
    <r>
      <rPr>
        <sz val="10"/>
        <rFont val="Arial Cyr"/>
        <family val="0"/>
      </rPr>
      <t xml:space="preserve">    </t>
    </r>
    <r>
      <rPr>
        <sz val="7"/>
        <rFont val="Arial Cyr"/>
        <family val="0"/>
      </rPr>
      <t>(пок-ль ср/душевых налоговых доходов каждого поселения по виду дохода)</t>
    </r>
  </si>
  <si>
    <r>
      <t>РПi</t>
    </r>
    <r>
      <rPr>
        <sz val="10"/>
        <rFont val="Arial Cyr"/>
        <family val="0"/>
      </rPr>
      <t xml:space="preserve">          </t>
    </r>
    <r>
      <rPr>
        <sz val="7"/>
        <rFont val="Arial Cyr"/>
        <family val="0"/>
      </rPr>
      <t>(пок-ль ср/душевых налоговых доходов каждого поселения по виду дохода)</t>
    </r>
  </si>
  <si>
    <r>
      <t xml:space="preserve">РКi </t>
    </r>
    <r>
      <rPr>
        <sz val="8"/>
        <rFont val="Arial Cyr"/>
        <family val="0"/>
      </rPr>
      <t xml:space="preserve">      (рай-й коэф-нт)  и проц.    надбавка каждого поселения)</t>
    </r>
  </si>
  <si>
    <r>
      <t xml:space="preserve">РК </t>
    </r>
    <r>
      <rPr>
        <sz val="8"/>
        <rFont val="Arial Cyr"/>
        <family val="0"/>
      </rPr>
      <t xml:space="preserve">(средневзвеш.рай-й коэф-нт  и проц.    надбавка) </t>
    </r>
  </si>
  <si>
    <r>
      <t>К</t>
    </r>
    <r>
      <rPr>
        <b/>
        <vertAlign val="superscript"/>
        <sz val="10"/>
        <rFont val="Arial Cyr"/>
        <family val="0"/>
      </rPr>
      <t>ОТД       (средневзвеш.коэф-нт отдаленности)</t>
    </r>
  </si>
  <si>
    <r>
      <t>R</t>
    </r>
    <r>
      <rPr>
        <b/>
        <sz val="9"/>
        <rFont val="Arial Cyr"/>
        <family val="0"/>
      </rPr>
      <t xml:space="preserve">кап   </t>
    </r>
    <r>
      <rPr>
        <sz val="7"/>
        <rFont val="Arial Cyr"/>
        <family val="0"/>
      </rPr>
      <t>(фед-й стандарт ст-ти кап.ремонта жилого пом-я , утв.для ИО Пр-вом РФ)</t>
    </r>
  </si>
  <si>
    <r>
      <t>Н</t>
    </r>
    <r>
      <rPr>
        <b/>
        <vertAlign val="superscript"/>
        <sz val="10"/>
        <rFont val="Arial Cyr"/>
        <family val="0"/>
      </rPr>
      <t>ТР</t>
    </r>
    <r>
      <rPr>
        <b/>
        <vertAlign val="subscript"/>
        <sz val="10"/>
        <rFont val="Arial Cyr"/>
        <family val="0"/>
      </rPr>
      <t>I (числ-сть пост.населения с огранич. сроком завоза грузов)</t>
    </r>
  </si>
  <si>
    <r>
      <t>К</t>
    </r>
    <r>
      <rPr>
        <b/>
        <vertAlign val="subscript"/>
        <sz val="10"/>
        <rFont val="Arial Cyr"/>
        <family val="0"/>
      </rPr>
      <t>i                           (поправочный коэф-нт для опр-ния ИНП)</t>
    </r>
  </si>
  <si>
    <r>
      <t xml:space="preserve">А             </t>
    </r>
    <r>
      <rPr>
        <sz val="10"/>
        <rFont val="Arial Cyr"/>
        <family val="0"/>
      </rPr>
      <t>сумма</t>
    </r>
    <r>
      <rPr>
        <b/>
        <sz val="10"/>
        <rFont val="Arial Cyr"/>
        <family val="0"/>
      </rPr>
      <t xml:space="preserve"> </t>
    </r>
    <r>
      <rPr>
        <sz val="8"/>
        <rFont val="Arial Cyr"/>
        <family val="0"/>
      </rPr>
      <t xml:space="preserve">(при условии        =1) </t>
    </r>
  </si>
  <si>
    <r>
      <t xml:space="preserve">В               </t>
    </r>
    <r>
      <rPr>
        <sz val="10"/>
        <rFont val="Arial Cyr"/>
        <family val="0"/>
      </rPr>
      <t xml:space="preserve">сумма (при условии        =1) </t>
    </r>
  </si>
  <si>
    <r>
      <t xml:space="preserve">N           </t>
    </r>
    <r>
      <rPr>
        <sz val="7"/>
        <rFont val="Arial Cyr"/>
        <family val="0"/>
      </rPr>
      <t>(кол-во поселений)</t>
    </r>
  </si>
  <si>
    <r>
      <t>Н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500 (числ-сть населения, прож-его в нас-х пунктах с числ-стью не более 500 чел)</t>
    </r>
  </si>
  <si>
    <r>
      <t xml:space="preserve">БОi </t>
    </r>
    <r>
      <rPr>
        <sz val="10"/>
        <rFont val="Arial Cyr"/>
        <family val="0"/>
      </rPr>
      <t>(</t>
    </r>
    <r>
      <rPr>
        <sz val="8"/>
        <rFont val="Arial Cyr"/>
        <family val="0"/>
      </rPr>
      <t>уровень бюджетной обеспеченности поселений)</t>
    </r>
  </si>
  <si>
    <t>расчет Дi</t>
  </si>
  <si>
    <t>итого</t>
  </si>
  <si>
    <t>расчет БОi +1</t>
  </si>
  <si>
    <t>обл.закон</t>
  </si>
  <si>
    <t>( формула 5)</t>
  </si>
  <si>
    <t>(уровень бюджетной обеспеченности с учетом дотации из областного ФФПП )</t>
  </si>
  <si>
    <t>гр.2/гр.8</t>
  </si>
  <si>
    <t>таб.1.1</t>
  </si>
  <si>
    <r>
      <t xml:space="preserve">ПП </t>
    </r>
    <r>
      <rPr>
        <b/>
        <sz val="7"/>
        <rFont val="Arial Cyr"/>
        <family val="0"/>
      </rPr>
      <t xml:space="preserve">(расчетная сумма </t>
    </r>
    <r>
      <rPr>
        <sz val="7"/>
        <rFont val="Arial Cyr"/>
        <family val="0"/>
      </rPr>
      <t xml:space="preserve">налоговых доходов по всем поселениям района на очередной финансовый и год </t>
    </r>
    <r>
      <rPr>
        <sz val="8"/>
        <rFont val="Arial Cyr"/>
        <family val="0"/>
      </rPr>
      <t xml:space="preserve">и </t>
    </r>
    <r>
      <rPr>
        <sz val="7"/>
        <rFont val="Arial Cyr"/>
        <family val="0"/>
      </rPr>
      <t>плановый период)</t>
    </r>
  </si>
  <si>
    <r>
      <t xml:space="preserve">РПi         </t>
    </r>
    <r>
      <rPr>
        <sz val="8"/>
        <rFont val="Arial Cyr"/>
        <family val="0"/>
      </rPr>
      <t>(п</t>
    </r>
    <r>
      <rPr>
        <sz val="7"/>
        <rFont val="Arial Cyr"/>
        <family val="0"/>
      </rPr>
      <t>ок-ль ср/душевых налоговых доходов поселения)</t>
    </r>
  </si>
  <si>
    <r>
      <t xml:space="preserve">НПi         </t>
    </r>
    <r>
      <rPr>
        <sz val="7"/>
        <rFont val="Arial Cyr"/>
        <family val="0"/>
      </rPr>
      <t>(пок-ль всех ср/душевых налоговых доходов поселения)</t>
    </r>
  </si>
  <si>
    <r>
      <t xml:space="preserve">УП </t>
    </r>
    <r>
      <rPr>
        <b/>
        <vertAlign val="subscript"/>
        <sz val="10"/>
        <rFont val="Arial Cyr"/>
        <family val="0"/>
      </rPr>
      <t>тек i,j (начисления за 1-е полугодие тек.фин.года на 1 жителя)</t>
    </r>
  </si>
  <si>
    <r>
      <t>Нk</t>
    </r>
    <r>
      <rPr>
        <b/>
        <vertAlign val="subscript"/>
        <sz val="10"/>
        <rFont val="Arial Cyr"/>
        <family val="0"/>
      </rPr>
      <t xml:space="preserve">                     (расчетная численность  постоянного населения k-поселения)</t>
    </r>
  </si>
  <si>
    <r>
      <t xml:space="preserve">БОi </t>
    </r>
    <r>
      <rPr>
        <sz val="8"/>
        <rFont val="Arial Cyr"/>
        <family val="0"/>
      </rPr>
      <t>(уровень бюджетной обеспеченности поселений)</t>
    </r>
  </si>
  <si>
    <r>
      <t>ИНП</t>
    </r>
    <r>
      <rPr>
        <b/>
        <vertAlign val="subscript"/>
        <sz val="10"/>
        <rFont val="Arial Cyr"/>
        <family val="0"/>
      </rPr>
      <t>i     (индекс налогового потенциала)</t>
    </r>
  </si>
  <si>
    <r>
      <t>НП</t>
    </r>
    <r>
      <rPr>
        <b/>
        <vertAlign val="subscript"/>
        <sz val="10"/>
        <rFont val="Arial Cyr"/>
        <family val="0"/>
      </rPr>
      <t xml:space="preserve">i,j         (пок-ль ср/душевых налоговых доходов i-го поселения по j-му виду доходов) </t>
    </r>
  </si>
  <si>
    <r>
      <t>ПП</t>
    </r>
    <r>
      <rPr>
        <b/>
        <vertAlign val="subscript"/>
        <sz val="10"/>
        <rFont val="Arial Cyr"/>
        <family val="0"/>
      </rPr>
      <t xml:space="preserve">j            </t>
    </r>
    <r>
      <rPr>
        <b/>
        <vertAlign val="subscript"/>
        <sz val="9"/>
        <rFont val="Arial Cyr"/>
        <family val="0"/>
      </rPr>
      <t xml:space="preserve">(прогноз. объем поступлений на очередной финанс.год  и  плановый период </t>
    </r>
    <r>
      <rPr>
        <b/>
        <vertAlign val="subscript"/>
        <sz val="10"/>
        <rFont val="Arial Cyr"/>
        <family val="0"/>
      </rPr>
      <t>)</t>
    </r>
  </si>
  <si>
    <r>
      <t xml:space="preserve">УП </t>
    </r>
    <r>
      <rPr>
        <b/>
        <vertAlign val="subscript"/>
        <sz val="10"/>
        <rFont val="Arial Cyr"/>
        <family val="0"/>
      </rPr>
      <t xml:space="preserve">i,1                                                </t>
    </r>
    <r>
      <rPr>
        <b/>
        <vertAlign val="subscript"/>
        <sz val="9"/>
        <rFont val="Arial Cyr"/>
        <family val="0"/>
      </rPr>
      <t xml:space="preserve">(условные поступления по данному доходу =     </t>
    </r>
    <r>
      <rPr>
        <vertAlign val="subscript"/>
        <sz val="9"/>
        <rFont val="Arial Cyr"/>
        <family val="0"/>
      </rPr>
      <t>УП</t>
    </r>
    <r>
      <rPr>
        <b/>
        <vertAlign val="subscript"/>
        <sz val="9"/>
        <rFont val="Arial Cyr"/>
        <family val="0"/>
      </rPr>
      <t xml:space="preserve"> i,j )</t>
    </r>
  </si>
  <si>
    <r>
      <t xml:space="preserve">УП </t>
    </r>
    <r>
      <rPr>
        <b/>
        <vertAlign val="subscript"/>
        <sz val="10"/>
        <rFont val="Arial Cyr"/>
        <family val="0"/>
      </rPr>
      <t>i,2        (условные поступления по данному доходу =     УП i,j )</t>
    </r>
  </si>
  <si>
    <r>
      <t xml:space="preserve">УП </t>
    </r>
    <r>
      <rPr>
        <b/>
        <vertAlign val="subscript"/>
        <sz val="10"/>
        <rFont val="Arial Cyr"/>
        <family val="0"/>
      </rPr>
      <t>i,3 (условные поступления по данному доходу =     УП i,j )</t>
    </r>
  </si>
  <si>
    <r>
      <t xml:space="preserve">УП </t>
    </r>
    <r>
      <rPr>
        <b/>
        <vertAlign val="subscript"/>
        <sz val="10"/>
        <rFont val="Arial Cyr"/>
        <family val="0"/>
      </rPr>
      <t>i,4 (условные поступления по данному доходу =     УП i,j )</t>
    </r>
  </si>
  <si>
    <r>
      <t>К</t>
    </r>
    <r>
      <rPr>
        <b/>
        <vertAlign val="subscript"/>
        <sz val="10"/>
        <rFont val="Arial Cyr"/>
        <family val="0"/>
      </rPr>
      <t>пред.отч.,I (поступление налога в конс.бюджет ИО с территории i-го поселения за предш. отчетному  финанс.год)</t>
    </r>
  </si>
  <si>
    <r>
      <t>К</t>
    </r>
    <r>
      <rPr>
        <b/>
        <vertAlign val="subscript"/>
        <sz val="10"/>
        <rFont val="Arial Cyr"/>
        <family val="0"/>
      </rPr>
      <t>отч.,i (поступление налога в конс.бюджет ИО с территории i-го поселения за отчетный финанс.год)</t>
    </r>
  </si>
  <si>
    <r>
      <t>НГ</t>
    </r>
    <r>
      <rPr>
        <sz val="10"/>
        <rFont val="Arial Cyr"/>
        <family val="0"/>
      </rPr>
      <t xml:space="preserve">i </t>
    </r>
    <r>
      <rPr>
        <b/>
        <sz val="10"/>
        <rFont val="Arial Cyr"/>
        <family val="0"/>
      </rPr>
      <t xml:space="preserve">         </t>
    </r>
    <r>
      <rPr>
        <b/>
        <vertAlign val="subscript"/>
        <sz val="9"/>
        <rFont val="Arial Cyr"/>
        <family val="0"/>
      </rPr>
      <t>(числ-ть  постоянного населения городского поселения по данным стат.бюллетеня иркутскстата Иркутскстата)</t>
    </r>
  </si>
  <si>
    <r>
      <t>Е</t>
    </r>
    <r>
      <rPr>
        <b/>
        <vertAlign val="subscript"/>
        <sz val="10"/>
        <rFont val="Arial Cyr"/>
        <family val="0"/>
      </rPr>
      <t>пред.отч.,i (начисление налога в конс.бюджет ИО с территории i-го поселения за предш. отчетному  финанс.год)</t>
    </r>
  </si>
  <si>
    <r>
      <t>Е</t>
    </r>
    <r>
      <rPr>
        <b/>
        <vertAlign val="subscript"/>
        <sz val="10"/>
        <rFont val="Arial Cyr"/>
        <family val="0"/>
      </rPr>
      <t>отч.,i (начисление налога в конс.бюджет ИО с территории i-го поселения за отчетный финанс.год)</t>
    </r>
  </si>
  <si>
    <r>
      <t>Е</t>
    </r>
    <r>
      <rPr>
        <b/>
        <vertAlign val="subscript"/>
        <sz val="10"/>
        <rFont val="Arial Cyr"/>
        <family val="0"/>
      </rPr>
      <t>отч.,i(начисление налога в конс.бюджет ИО с территории i-го поселения за отчетный финанс.год)</t>
    </r>
  </si>
  <si>
    <r>
      <t>К</t>
    </r>
    <r>
      <rPr>
        <b/>
        <vertAlign val="subscript"/>
        <sz val="10"/>
        <rFont val="Arial Cyr"/>
        <family val="0"/>
      </rPr>
      <t xml:space="preserve">i,1 -поправочный коэф-нт, установ-й Законом ИО       </t>
    </r>
    <r>
      <rPr>
        <sz val="8"/>
        <rFont val="Arial Cyr"/>
        <family val="0"/>
      </rPr>
      <t>(1- для г.п.; 0,8- для с.п.)</t>
    </r>
  </si>
  <si>
    <r>
      <t>ИБР</t>
    </r>
    <r>
      <rPr>
        <b/>
        <vertAlign val="subscript"/>
        <sz val="10"/>
        <rFont val="Arial Cyr"/>
        <family val="0"/>
      </rPr>
      <t>i          ( индекс расходов бюджета i-поселения)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</si>
  <si>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 xml:space="preserve">стр (коэф-нт структуры потреб-ей бюджетных услуг  i-поселения) 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</si>
  <si>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стоим     (коэф-нт ст-ти предост-я бюджетных услуг i- поселения)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</si>
  <si>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РАС    (коэф-нт расселения поселения i- поселения)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</si>
  <si>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У               (коэф-нт урбани           зации  i-поселения)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</si>
  <si>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М        (коэф-нт масштаба i-поселения)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</si>
  <si>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цен                 (коэф-нт уровня цен i-поселения)</t>
    </r>
  </si>
  <si>
    <t>весовые коэффициенты, устанавливаемые решением представительного органа муниципального района</t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</si>
  <si>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ЗП (коэф-нт дифференциации   з/п   i-поселения)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</si>
  <si>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КУЛ    (коэф-нт культуры в i-поселении, уст.решением предст.органа МР 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</si>
  <si>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жку (коэф-нт     ст-ти ЖКУ i-поселения)</t>
    </r>
  </si>
  <si>
    <r>
      <t>НГ</t>
    </r>
    <r>
      <rPr>
        <sz val="10"/>
        <rFont val="Arial Cyr"/>
        <family val="0"/>
      </rPr>
      <t xml:space="preserve">i </t>
    </r>
    <r>
      <rPr>
        <b/>
        <sz val="10"/>
        <rFont val="Arial Cyr"/>
        <family val="0"/>
      </rPr>
      <t xml:space="preserve">         </t>
    </r>
    <r>
      <rPr>
        <b/>
        <vertAlign val="subscript"/>
        <sz val="9"/>
        <rFont val="Arial Cyr"/>
        <family val="0"/>
      </rPr>
      <t>(числ-ть  постоянного населения сельских поселений по данным стат.бюллетеня Иркутскстата =НС i  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</si>
  <si>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>ОТД    ( коэф-нт отдаленности  i-поселения)</t>
    </r>
  </si>
  <si>
    <r>
      <t>К</t>
    </r>
    <r>
      <rPr>
        <b/>
        <vertAlign val="superscript"/>
        <sz val="8"/>
        <rFont val="Arial"/>
        <family val="2"/>
      </rPr>
      <t xml:space="preserve">ТР  </t>
    </r>
    <r>
      <rPr>
        <b/>
        <vertAlign val="superscript"/>
        <sz val="9"/>
        <rFont val="Arial"/>
        <family val="2"/>
      </rPr>
      <t>(i)       (коэф-нт трансп.доступности</t>
    </r>
    <r>
      <rPr>
        <b/>
        <vertAlign val="superscript"/>
        <sz val="8"/>
        <rFont val="Arial"/>
        <family val="2"/>
      </rPr>
      <t xml:space="preserve"> </t>
    </r>
    <r>
      <rPr>
        <b/>
        <sz val="7"/>
        <rFont val="Arial"/>
        <family val="2"/>
      </rPr>
      <t>(Для поселения, расположенного на территории Крайнего Севера и правненых к ним местностям,  1,5; в остальных случаях-0)</t>
    </r>
  </si>
  <si>
    <r>
      <t>R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 xml:space="preserve">жку       </t>
    </r>
    <r>
      <rPr>
        <b/>
        <vertAlign val="superscript"/>
        <sz val="9"/>
        <rFont val="Arial Cyr"/>
        <family val="0"/>
      </rPr>
      <t>(предельная ст-сть ЖКУ на 1кв.м. общей площади в месяц по НПА ИО)</t>
    </r>
  </si>
  <si>
    <r>
      <t>R</t>
    </r>
    <r>
      <rPr>
        <b/>
        <vertAlign val="superscript"/>
        <sz val="10"/>
        <rFont val="Arial Cyr"/>
        <family val="0"/>
      </rPr>
      <t xml:space="preserve">жку    </t>
    </r>
    <r>
      <rPr>
        <b/>
        <vertAlign val="superscript"/>
        <sz val="9"/>
        <rFont val="Arial Cyr"/>
        <family val="0"/>
      </rPr>
      <t>(фед-й стандарт ЖКУ , утв. для ИО Пр-вом РФ)</t>
    </r>
  </si>
  <si>
    <r>
      <t>R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 xml:space="preserve">КАП    </t>
    </r>
    <r>
      <rPr>
        <b/>
        <vertAlign val="superscript"/>
        <sz val="9"/>
        <rFont val="Arial Cyr"/>
        <family val="0"/>
      </rPr>
      <t>(ст-ть кап.ремонта жилого помещения на 1кв.м. общей площади  в месяц</t>
    </r>
    <r>
      <rPr>
        <b/>
        <vertAlign val="superscript"/>
        <sz val="10"/>
        <rFont val="Arial Cyr"/>
        <family val="0"/>
      </rPr>
      <t xml:space="preserve"> по </t>
    </r>
    <r>
      <rPr>
        <b/>
        <vertAlign val="superscript"/>
        <sz val="9"/>
        <rFont val="Arial Cyr"/>
        <family val="0"/>
      </rPr>
      <t>НПА ИО)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</si>
  <si>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 xml:space="preserve">жку / </t>
    </r>
    <r>
      <rPr>
        <b/>
        <vertAlign val="superscript"/>
        <sz val="12"/>
        <rFont val="Arial Cyr"/>
        <family val="0"/>
      </rPr>
      <t>Кi</t>
    </r>
    <r>
      <rPr>
        <b/>
        <vertAlign val="superscript"/>
        <sz val="10"/>
        <rFont val="Arial Cyr"/>
        <family val="0"/>
      </rPr>
      <t xml:space="preserve">кул                   (гр.29 /гр.50) по формуле 20 Закона    </t>
    </r>
  </si>
  <si>
    <r>
      <t>К</t>
    </r>
    <r>
      <rPr>
        <b/>
        <vertAlign val="subscript"/>
        <sz val="10"/>
        <rFont val="Arial Cyr"/>
        <family val="0"/>
      </rPr>
      <t>i</t>
    </r>
    <r>
      <rPr>
        <b/>
        <vertAlign val="superscript"/>
        <sz val="10"/>
        <rFont val="Arial Cyr"/>
        <family val="0"/>
      </rPr>
      <t xml:space="preserve">ЗП  /   </t>
    </r>
    <r>
      <rPr>
        <b/>
        <vertAlign val="superscript"/>
        <sz val="12"/>
        <rFont val="Arial Cyr"/>
        <family val="0"/>
      </rPr>
      <t>Кi</t>
    </r>
    <r>
      <rPr>
        <b/>
        <vertAlign val="superscript"/>
        <sz val="11"/>
        <rFont val="Arial Cyr"/>
        <family val="0"/>
      </rPr>
      <t>кул</t>
    </r>
    <r>
      <rPr>
        <b/>
        <vertAlign val="superscript"/>
        <sz val="10"/>
        <rFont val="Arial Cyr"/>
        <family val="0"/>
      </rPr>
      <t xml:space="preserve"> (гр.24 /гр.48) по формуле 20 Закона    </t>
    </r>
  </si>
  <si>
    <r>
      <t xml:space="preserve">УП </t>
    </r>
    <r>
      <rPr>
        <b/>
        <vertAlign val="subscript"/>
        <sz val="10"/>
        <rFont val="Arial Cyr"/>
        <family val="0"/>
      </rPr>
      <t>тек i,j (поступления за 1-е полугодие тек.фин.года на 1 жителя)</t>
    </r>
  </si>
  <si>
    <r>
      <t xml:space="preserve">ПП                        </t>
    </r>
    <r>
      <rPr>
        <sz val="7"/>
        <rFont val="Arial Cyr"/>
        <family val="0"/>
      </rPr>
      <t>(расчетная сумма налоговых доходов по всем поселениям района на очередной финансовый и год и плановый период)</t>
    </r>
  </si>
  <si>
    <r>
      <t xml:space="preserve">Дi обл                 </t>
    </r>
    <r>
      <rPr>
        <sz val="7"/>
        <rFont val="Arial Cyr"/>
        <family val="0"/>
      </rPr>
      <t>(размер дотации на выравн. бюдж.обесп. i-му поселению из област.бюджета)</t>
    </r>
  </si>
  <si>
    <r>
      <t xml:space="preserve">БО i +1 </t>
    </r>
    <r>
      <rPr>
        <sz val="8"/>
        <rFont val="Arial Cyr"/>
        <family val="0"/>
      </rPr>
      <t>(уровень бюджетной обеспеченности с учетом дотации на выр-е бюдж.обесп.из ОБ)</t>
    </r>
  </si>
  <si>
    <r>
      <t xml:space="preserve">Дmin </t>
    </r>
    <r>
      <rPr>
        <sz val="8"/>
        <rFont val="Arial Cyr"/>
        <family val="0"/>
      </rPr>
      <t>(размер районного фонда финансовой поддержки поселений)</t>
    </r>
  </si>
  <si>
    <r>
      <t xml:space="preserve">ПП                        </t>
    </r>
    <r>
      <rPr>
        <sz val="7"/>
        <rFont val="Times New Roman"/>
        <family val="1"/>
      </rPr>
      <t>(расчетная сумма налоговых доходов по всем поселениям района на очередной финансовый и год и плановый период)</t>
    </r>
  </si>
  <si>
    <r>
      <t xml:space="preserve">∑Hi </t>
    </r>
    <r>
      <rPr>
        <sz val="8"/>
        <rFont val="Arial Cyr"/>
        <family val="0"/>
      </rPr>
      <t>(сумма численности  постоянного  населения )</t>
    </r>
  </si>
  <si>
    <t>гр.15 таб.1</t>
  </si>
  <si>
    <t>гр.47 таб.1</t>
  </si>
  <si>
    <t>гр.2 таб.1</t>
  </si>
  <si>
    <t>гр.46 таб.1</t>
  </si>
  <si>
    <t xml:space="preserve">2-е слаг-е формулы нахожденияБО i +1 </t>
  </si>
  <si>
    <t xml:space="preserve">зн-ль формулы нахождения    БО i +1 </t>
  </si>
  <si>
    <r>
      <t xml:space="preserve">БО мах-Боi+1       </t>
    </r>
    <r>
      <rPr>
        <i/>
        <sz val="8"/>
        <rFont val="Arial Cyr"/>
        <family val="0"/>
      </rPr>
      <t>(гр.10- гр.1)    (ф.2)</t>
    </r>
  </si>
  <si>
    <t xml:space="preserve">Наименование поселения </t>
  </si>
  <si>
    <t>Наименование поселения</t>
  </si>
  <si>
    <r>
      <t xml:space="preserve">                                      ∑Нi                            </t>
    </r>
    <r>
      <rPr>
        <sz val="8"/>
        <rFont val="Arial Cyr"/>
        <family val="0"/>
      </rPr>
      <t>(сумма численность  постоянного населения )</t>
    </r>
  </si>
  <si>
    <r>
      <t xml:space="preserve">                                      Нi    </t>
    </r>
    <r>
      <rPr>
        <sz val="8"/>
        <rFont val="Arial Cyr"/>
        <family val="0"/>
      </rPr>
      <t>(численность  постоянного населения k-поселения)</t>
    </r>
  </si>
  <si>
    <r>
      <t xml:space="preserve">БО k +1  </t>
    </r>
    <r>
      <rPr>
        <sz val="8"/>
        <rFont val="Times New Roman"/>
        <family val="1"/>
      </rPr>
      <t>(уровень бюдж.обесп-ти k-го поселения с учетом дотации на выравн. из обл. бюджета)</t>
    </r>
  </si>
  <si>
    <r>
      <t xml:space="preserve">ИБР k </t>
    </r>
    <r>
      <rPr>
        <sz val="8"/>
        <rFont val="Times New Roman"/>
        <family val="1"/>
      </rPr>
      <t>(индекс расходов бюджета k-го городского   (сельского)  поселения)</t>
    </r>
  </si>
  <si>
    <r>
      <t xml:space="preserve">Hk </t>
    </r>
    <r>
      <rPr>
        <sz val="8"/>
        <rFont val="Arial Cyr"/>
        <family val="0"/>
      </rPr>
      <t>(расчетная численность  постоянного  населения k-го городского(сельского) поселения</t>
    </r>
  </si>
  <si>
    <r>
      <t>Дмин</t>
    </r>
    <r>
      <rPr>
        <b/>
        <sz val="12"/>
        <rFont val="Arial Cyr"/>
        <family val="0"/>
      </rPr>
      <t xml:space="preserve">/ </t>
    </r>
    <r>
      <rPr>
        <b/>
        <sz val="10"/>
        <rFont val="Arial Cyr"/>
        <family val="0"/>
      </rPr>
      <t xml:space="preserve">                               (ПП</t>
    </r>
    <r>
      <rPr>
        <b/>
        <sz val="12"/>
        <rFont val="Arial Cyr"/>
        <family val="0"/>
      </rPr>
      <t>/</t>
    </r>
    <r>
      <rPr>
        <b/>
        <sz val="10"/>
        <rFont val="Arial Cyr"/>
        <family val="0"/>
      </rPr>
      <t>∑Hi )</t>
    </r>
    <r>
      <rPr>
        <sz val="10"/>
        <rFont val="Arial Cyr"/>
        <family val="0"/>
      </rPr>
      <t xml:space="preserve">       </t>
    </r>
    <r>
      <rPr>
        <i/>
        <sz val="8"/>
        <rFont val="Arial Cyr"/>
        <family val="0"/>
      </rPr>
      <t>гр.6/(гр8/гр7) ф.3</t>
    </r>
    <r>
      <rPr>
        <sz val="10"/>
        <rFont val="Arial Cyr"/>
        <family val="0"/>
      </rPr>
      <t xml:space="preserve">
</t>
    </r>
  </si>
  <si>
    <r>
      <t>ср/взв.</t>
    </r>
    <r>
      <rPr>
        <sz val="8"/>
        <rFont val="Arial Cyr"/>
        <family val="0"/>
      </rPr>
      <t xml:space="preserve"> числитель   Гр.1хгр.2хгр.3</t>
    </r>
    <r>
      <rPr>
        <i/>
        <sz val="8"/>
        <rFont val="Arial Cyr"/>
        <family val="0"/>
      </rPr>
      <t>(ф.3)</t>
    </r>
  </si>
  <si>
    <r>
      <t>ср/взв</t>
    </r>
    <r>
      <rPr>
        <sz val="10"/>
        <rFont val="Arial Cyr"/>
        <family val="0"/>
      </rPr>
      <t xml:space="preserve">.      </t>
    </r>
    <r>
      <rPr>
        <sz val="8"/>
        <rFont val="Arial Cyr"/>
        <family val="0"/>
      </rPr>
      <t>знаменатель Гр.2хгр.3    (</t>
    </r>
    <r>
      <rPr>
        <i/>
        <sz val="8"/>
        <rFont val="Arial Cyr"/>
        <family val="0"/>
      </rPr>
      <t>ф.3)</t>
    </r>
  </si>
  <si>
    <r>
      <t xml:space="preserve">ПП/ΣHi 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0"/>
      </rPr>
      <t>(гр.8/ гр.7)   (ф.2)</t>
    </r>
  </si>
  <si>
    <r>
      <t xml:space="preserve">расчет Дi </t>
    </r>
    <r>
      <rPr>
        <i/>
        <sz val="8"/>
        <rFont val="Arial Cyr"/>
        <family val="0"/>
      </rPr>
      <t>(гр12хгр11хгр2гр3)  (ф.2)</t>
    </r>
  </si>
  <si>
    <t>(формула 2)</t>
  </si>
  <si>
    <r>
      <t>БО мах</t>
    </r>
    <r>
      <rPr>
        <sz val="8"/>
        <rFont val="Arial Cyr"/>
        <family val="0"/>
      </rPr>
      <t xml:space="preserve"> (уровень бюдж.обесп., установл. решением предст.органа МР) </t>
    </r>
    <r>
      <rPr>
        <i/>
        <sz val="8"/>
        <rFont val="Arial Cyr"/>
        <family val="0"/>
      </rPr>
      <t>(гр9+итог гр4)/итог гр.5         (ф.3)</t>
    </r>
  </si>
  <si>
    <r>
      <t xml:space="preserve">ИБРi            </t>
    </r>
    <r>
      <rPr>
        <sz val="8"/>
        <rFont val="Arial Cyr"/>
        <family val="0"/>
      </rPr>
      <t>( индекс расходов бюджета i-поселения)</t>
    </r>
  </si>
  <si>
    <t>гр.1+гр.9</t>
  </si>
  <si>
    <t>(гр.47/2)*гр.46*2</t>
  </si>
  <si>
    <t>таб.1.2.</t>
  </si>
  <si>
    <t>РАСПРЕДЕЛЕНИЕ ДОТАЦИЙ НА ВЫРАВНИВАНИЕ БЮДЖЕТНОЙ ОБЕСПЕЧЕННОСТИ ПОСЕЛЕНИЙ ИЗ БЮДЖЕТА МУНИЦИПАЛЬНОГО РАЙОНА НА 2017 ГОД</t>
  </si>
  <si>
    <t>Rжку*, Rкап*-установлены в соответствии с постановленим Правительства Российской Федерации "О федеральных стандартах оплаты жилого помещения и коммунальных услуг на 2016-2018 годы"от 11.02.2016 года № 97.</t>
  </si>
  <si>
    <t>Ri жку, Ri кап-установлены в соответствии с постановлением Правительства Иркутской области  от 20.07.2016 года № 439-пп.</t>
  </si>
  <si>
    <r>
      <t>Н</t>
    </r>
    <r>
      <rPr>
        <b/>
        <vertAlign val="subscript"/>
        <sz val="10"/>
        <rFont val="Arial Cyr"/>
        <family val="0"/>
      </rPr>
      <t>i      (численность  постоянного  населения i-го городского (сельского) поселения по данным стат.бюллет. Иркутска на 01.01.2016г)</t>
    </r>
  </si>
  <si>
    <r>
      <t>К</t>
    </r>
    <r>
      <rPr>
        <b/>
        <vertAlign val="subscript"/>
        <sz val="9"/>
        <rFont val="Arial Cyr"/>
        <family val="0"/>
      </rPr>
      <t>i,2</t>
    </r>
    <r>
      <rPr>
        <b/>
        <sz val="9"/>
        <rFont val="Arial Cyr"/>
        <family val="0"/>
      </rPr>
      <t xml:space="preserve"> -</t>
    </r>
    <r>
      <rPr>
        <sz val="7"/>
        <rFont val="Arial Cyr"/>
        <family val="0"/>
      </rPr>
      <t>поправочный коэф-нт, учитыв-й особенности поселений (согласно расчета по выбору ОМСУ МР)</t>
    </r>
  </si>
  <si>
    <t>РАСПРЕДЕЛЕНИЕ ДОТАЦИЙ НА ВЫРАВНИВАНИЕ БЮДЖЕТНОЙ ОБЕСПЕЧЕННОСТИ ПОСЕЛЕНИЙ ИЗ БЮДЖЕТА МУНИЦИПАЛЬНОГО РАЙОНА НА 2018 ГОД</t>
  </si>
  <si>
    <t>РАСПРЕДЕЛЕНИЕ ДОТАЦИЙ НА ВЫРАВНИВАНИЕ БЮДЖЕТНОЙ ОБЕСПЕЧЕННОСТИ ПОСЕЛЕНИЙ ИЗ БЮДЖЕТА МУНИЦИПАЛЬНОГО РАЙОНА НА 2019 ГОД</t>
  </si>
  <si>
    <t>таблица 3</t>
  </si>
  <si>
    <t>таб.3.1</t>
  </si>
  <si>
    <t>таб.3.2.</t>
  </si>
  <si>
    <t>таблица 2</t>
  </si>
  <si>
    <t>таб.2.1</t>
  </si>
  <si>
    <t>таб.2.2.</t>
  </si>
  <si>
    <t>Итого в бюджете 2017 года</t>
  </si>
  <si>
    <t>(размер дотации на выравнивание бюджетной обеспеченности из районного ФФПП на 2017 год)</t>
  </si>
  <si>
    <t>(размер дотации на выравнивание бюджетной обеспеченности из районного ФФПП на 2018 год)</t>
  </si>
  <si>
    <t>Итого в бюджете 2018 года</t>
  </si>
  <si>
    <t>Увеличение бюджета 2018 года</t>
  </si>
  <si>
    <t>Итого в бюджете 2019 года</t>
  </si>
  <si>
    <t>Увеличение бюджета 2019 года</t>
  </si>
  <si>
    <t>(размер дотации на выравнивание бюджетной обеспеченности из районного ФФПП на 2019 год)</t>
  </si>
  <si>
    <t>Уточнение в бюджете 2018 года</t>
  </si>
  <si>
    <t>Уточнение в бюджете 2019 года</t>
  </si>
  <si>
    <t>Увеличение бюджета апрель 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</si>
</sst>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[Red]\-#,##0.00000\ "/>
    <numFmt numFmtId="173" formatCode="#,##0.0000000000_ ;[Red]\-#,##0.0000000000\ "/>
    <numFmt numFmtId="174" formatCode="#,##0.00_ ;[Red]\-#,##0.00\ "/>
    <numFmt numFmtId="175" formatCode="#,##0_ ;[Red]\-#,##0\ "/>
    <numFmt numFmtId="176" formatCode="#,##0.0_ ;[Red]\-#,##0.0\ "/>
    <numFmt numFmtId="177" formatCode="#,##0.0000_ ;[Red]\-#,##0.0000\ 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_ ;[Red]\-#,##0.000\ "/>
    <numFmt numFmtId="186" formatCode="#,##0.00000000_ ;[Red]\-#,##0.00000000\ "/>
    <numFmt numFmtId="187" formatCode="#,##0.000000_ ;[Red]\-#,##0.000000\ "/>
    <numFmt numFmtId="188" formatCode="0.0000"/>
    <numFmt numFmtId="189" formatCode="0.0"/>
    <numFmt numFmtId="190" formatCode="0.000"/>
    <numFmt numFmtId="191" formatCode="0.00000000"/>
    <numFmt numFmtId="192" formatCode="0.0000000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vertAlign val="subscript"/>
      <sz val="10"/>
      <name val="Arial Cyr"/>
      <family val="0"/>
    </font>
    <font>
      <b/>
      <vertAlign val="superscript"/>
      <sz val="10"/>
      <name val="Arial Cyr"/>
      <family val="0"/>
    </font>
    <font>
      <b/>
      <sz val="14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Arial"/>
      <family val="2"/>
    </font>
    <font>
      <b/>
      <vertAlign val="subscript"/>
      <sz val="9"/>
      <name val="Arial Cyr"/>
      <family val="0"/>
    </font>
    <font>
      <b/>
      <sz val="9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7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vertAlign val="superscript"/>
      <sz val="9"/>
      <name val="Arial Cyr"/>
      <family val="0"/>
    </font>
    <font>
      <i/>
      <sz val="8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b/>
      <vertAlign val="superscript"/>
      <sz val="12"/>
      <name val="Arial Cyr"/>
      <family val="0"/>
    </font>
    <font>
      <b/>
      <vertAlign val="superscript"/>
      <sz val="11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bscript"/>
      <sz val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5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8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/>
    </xf>
    <xf numFmtId="0" fontId="0" fillId="0" borderId="11" xfId="0" applyNumberFormat="1" applyFont="1" applyFill="1" applyBorder="1" applyAlignment="1">
      <alignment vertical="top"/>
    </xf>
    <xf numFmtId="175" fontId="0" fillId="0" borderId="12" xfId="0" applyNumberFormat="1" applyFont="1" applyFill="1" applyBorder="1" applyAlignment="1">
      <alignment horizontal="right" vertical="top"/>
    </xf>
    <xf numFmtId="175" fontId="0" fillId="0" borderId="13" xfId="0" applyNumberFormat="1" applyFont="1" applyFill="1" applyBorder="1" applyAlignment="1">
      <alignment horizontal="right" vertical="top"/>
    </xf>
    <xf numFmtId="176" fontId="0" fillId="0" borderId="12" xfId="0" applyNumberFormat="1" applyFont="1" applyFill="1" applyBorder="1" applyAlignment="1">
      <alignment horizontal="right" vertical="top"/>
    </xf>
    <xf numFmtId="175" fontId="0" fillId="0" borderId="0" xfId="0" applyNumberFormat="1" applyFont="1" applyFill="1" applyBorder="1" applyAlignment="1">
      <alignment horizontal="right" vertical="top"/>
    </xf>
    <xf numFmtId="175" fontId="0" fillId="0" borderId="12" xfId="0" applyNumberFormat="1" applyFont="1" applyFill="1" applyBorder="1" applyAlignment="1">
      <alignment horizontal="right" vertical="top"/>
    </xf>
    <xf numFmtId="175" fontId="0" fillId="0" borderId="13" xfId="0" applyNumberFormat="1" applyFont="1" applyFill="1" applyBorder="1" applyAlignment="1">
      <alignment horizontal="right" vertical="top"/>
    </xf>
    <xf numFmtId="175" fontId="2" fillId="33" borderId="14" xfId="0" applyNumberFormat="1" applyFont="1" applyFill="1" applyBorder="1" applyAlignment="1">
      <alignment horizontal="right" vertical="top"/>
    </xf>
    <xf numFmtId="175" fontId="2" fillId="33" borderId="15" xfId="0" applyNumberFormat="1" applyFont="1" applyFill="1" applyBorder="1" applyAlignment="1">
      <alignment horizontal="right" vertical="top"/>
    </xf>
    <xf numFmtId="175" fontId="2" fillId="33" borderId="16" xfId="0" applyNumberFormat="1" applyFont="1" applyFill="1" applyBorder="1" applyAlignment="1">
      <alignment horizontal="right" vertical="top"/>
    </xf>
    <xf numFmtId="175" fontId="2" fillId="33" borderId="17" xfId="0" applyNumberFormat="1" applyFont="1" applyFill="1" applyBorder="1" applyAlignment="1">
      <alignment horizontal="right" vertical="top"/>
    </xf>
    <xf numFmtId="175" fontId="2" fillId="33" borderId="18" xfId="0" applyNumberFormat="1" applyFont="1" applyFill="1" applyBorder="1" applyAlignment="1">
      <alignment horizontal="right" vertical="top"/>
    </xf>
    <xf numFmtId="0" fontId="0" fillId="0" borderId="19" xfId="0" applyNumberFormat="1" applyFont="1" applyFill="1" applyBorder="1" applyAlignment="1">
      <alignment vertical="top"/>
    </xf>
    <xf numFmtId="0" fontId="0" fillId="0" borderId="20" xfId="0" applyNumberFormat="1" applyFont="1" applyFill="1" applyBorder="1" applyAlignment="1">
      <alignment vertical="top"/>
    </xf>
    <xf numFmtId="177" fontId="2" fillId="33" borderId="21" xfId="0" applyNumberFormat="1" applyFont="1" applyFill="1" applyBorder="1" applyAlignment="1">
      <alignment horizontal="right" vertical="top"/>
    </xf>
    <xf numFmtId="175" fontId="0" fillId="34" borderId="12" xfId="0" applyNumberFormat="1" applyFont="1" applyFill="1" applyBorder="1" applyAlignment="1">
      <alignment horizontal="right" vertical="top"/>
    </xf>
    <xf numFmtId="0" fontId="2" fillId="35" borderId="0" xfId="0" applyNumberFormat="1" applyFont="1" applyFill="1" applyBorder="1" applyAlignment="1">
      <alignment vertical="top"/>
    </xf>
    <xf numFmtId="176" fontId="2" fillId="33" borderId="17" xfId="0" applyNumberFormat="1" applyFont="1" applyFill="1" applyBorder="1" applyAlignment="1">
      <alignment horizontal="right" vertical="top"/>
    </xf>
    <xf numFmtId="175" fontId="0" fillId="35" borderId="13" xfId="0" applyNumberFormat="1" applyFont="1" applyFill="1" applyBorder="1" applyAlignment="1">
      <alignment horizontal="right" vertical="top"/>
    </xf>
    <xf numFmtId="177" fontId="0" fillId="34" borderId="22" xfId="0" applyNumberFormat="1" applyFont="1" applyFill="1" applyBorder="1" applyAlignment="1">
      <alignment horizontal="right" vertical="top"/>
    </xf>
    <xf numFmtId="176" fontId="0" fillId="34" borderId="23" xfId="0" applyNumberFormat="1" applyFont="1" applyFill="1" applyBorder="1" applyAlignment="1">
      <alignment horizontal="right" vertical="top"/>
    </xf>
    <xf numFmtId="176" fontId="0" fillId="35" borderId="10" xfId="0" applyNumberFormat="1" applyFont="1" applyFill="1" applyBorder="1" applyAlignment="1">
      <alignment horizontal="right" vertical="top"/>
    </xf>
    <xf numFmtId="176" fontId="0" fillId="34" borderId="20" xfId="0" applyNumberFormat="1" applyFont="1" applyFill="1" applyBorder="1" applyAlignment="1">
      <alignment horizontal="right" vertical="top"/>
    </xf>
    <xf numFmtId="175" fontId="0" fillId="0" borderId="11" xfId="0" applyNumberFormat="1" applyFont="1" applyFill="1" applyBorder="1" applyAlignment="1">
      <alignment vertical="top"/>
    </xf>
    <xf numFmtId="177" fontId="2" fillId="33" borderId="22" xfId="0" applyNumberFormat="1" applyFont="1" applyFill="1" applyBorder="1" applyAlignment="1">
      <alignment horizontal="right" vertical="top"/>
    </xf>
    <xf numFmtId="175" fontId="0" fillId="35" borderId="12" xfId="0" applyNumberFormat="1" applyFont="1" applyFill="1" applyBorder="1" applyAlignment="1">
      <alignment horizontal="right" vertical="top"/>
    </xf>
    <xf numFmtId="176" fontId="0" fillId="34" borderId="19" xfId="0" applyNumberFormat="1" applyFont="1" applyFill="1" applyBorder="1" applyAlignment="1">
      <alignment horizontal="right" vertical="top"/>
    </xf>
    <xf numFmtId="175" fontId="0" fillId="0" borderId="10" xfId="0" applyNumberFormat="1" applyFont="1" applyFill="1" applyBorder="1" applyAlignment="1">
      <alignment vertical="top"/>
    </xf>
    <xf numFmtId="175" fontId="2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right" vertical="top"/>
    </xf>
    <xf numFmtId="177" fontId="0" fillId="34" borderId="10" xfId="0" applyNumberFormat="1" applyFont="1" applyFill="1" applyBorder="1" applyAlignment="1">
      <alignment horizontal="right" vertical="top"/>
    </xf>
    <xf numFmtId="177" fontId="0" fillId="34" borderId="12" xfId="0" applyNumberFormat="1" applyFont="1" applyFill="1" applyBorder="1" applyAlignment="1">
      <alignment horizontal="right" vertical="top"/>
    </xf>
    <xf numFmtId="177" fontId="0" fillId="34" borderId="13" xfId="0" applyNumberFormat="1" applyFont="1" applyFill="1" applyBorder="1" applyAlignment="1">
      <alignment horizontal="right" vertical="top"/>
    </xf>
    <xf numFmtId="177" fontId="0" fillId="34" borderId="24" xfId="0" applyNumberFormat="1" applyFont="1" applyFill="1" applyBorder="1" applyAlignment="1">
      <alignment horizontal="right" vertical="top"/>
    </xf>
    <xf numFmtId="177" fontId="0" fillId="34" borderId="23" xfId="0" applyNumberFormat="1" applyFont="1" applyFill="1" applyBorder="1" applyAlignment="1">
      <alignment horizontal="right" vertical="top"/>
    </xf>
    <xf numFmtId="177" fontId="0" fillId="34" borderId="19" xfId="0" applyNumberFormat="1" applyFont="1" applyFill="1" applyBorder="1" applyAlignment="1">
      <alignment horizontal="right" vertical="top"/>
    </xf>
    <xf numFmtId="177" fontId="0" fillId="34" borderId="19" xfId="0" applyNumberFormat="1" applyFont="1" applyFill="1" applyBorder="1" applyAlignment="1">
      <alignment vertical="top"/>
    </xf>
    <xf numFmtId="177" fontId="0" fillId="34" borderId="21" xfId="0" applyNumberFormat="1" applyFont="1" applyFill="1" applyBorder="1" applyAlignment="1">
      <alignment vertical="top"/>
    </xf>
    <xf numFmtId="177" fontId="0" fillId="34" borderId="25" xfId="0" applyNumberFormat="1" applyFont="1" applyFill="1" applyBorder="1" applyAlignment="1">
      <alignment horizontal="right" vertical="top"/>
    </xf>
    <xf numFmtId="177" fontId="0" fillId="34" borderId="21" xfId="0" applyNumberFormat="1" applyFont="1" applyFill="1" applyBorder="1" applyAlignment="1">
      <alignment horizontal="right" vertical="top"/>
    </xf>
    <xf numFmtId="177" fontId="0" fillId="34" borderId="26" xfId="0" applyNumberFormat="1" applyFont="1" applyFill="1" applyBorder="1" applyAlignment="1">
      <alignment horizontal="right" vertical="top"/>
    </xf>
    <xf numFmtId="177" fontId="0" fillId="0" borderId="10" xfId="0" applyNumberFormat="1" applyBorder="1" applyAlignment="1">
      <alignment vertical="top"/>
    </xf>
    <xf numFmtId="177" fontId="0" fillId="0" borderId="10" xfId="0" applyNumberFormat="1" applyFont="1" applyFill="1" applyBorder="1" applyAlignment="1">
      <alignment vertical="top"/>
    </xf>
    <xf numFmtId="174" fontId="0" fillId="0" borderId="10" xfId="0" applyNumberFormat="1" applyFont="1" applyFill="1" applyBorder="1" applyAlignment="1">
      <alignment horizontal="right" vertical="top"/>
    </xf>
    <xf numFmtId="174" fontId="0" fillId="0" borderId="11" xfId="0" applyNumberFormat="1" applyFont="1" applyFill="1" applyBorder="1" applyAlignment="1">
      <alignment horizontal="right" vertical="top"/>
    </xf>
    <xf numFmtId="0" fontId="2" fillId="34" borderId="27" xfId="0" applyNumberFormat="1" applyFont="1" applyFill="1" applyBorder="1" applyAlignment="1">
      <alignment horizontal="center" vertical="top" wrapText="1"/>
    </xf>
    <xf numFmtId="0" fontId="2" fillId="34" borderId="28" xfId="0" applyNumberFormat="1" applyFont="1" applyFill="1" applyBorder="1" applyAlignment="1">
      <alignment horizontal="center" vertical="top" wrapText="1"/>
    </xf>
    <xf numFmtId="0" fontId="2" fillId="0" borderId="28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1" fillId="34" borderId="13" xfId="0" applyNumberFormat="1" applyFont="1" applyFill="1" applyBorder="1" applyAlignment="1">
      <alignment horizontal="center" vertical="top" wrapText="1"/>
    </xf>
    <xf numFmtId="0" fontId="1" fillId="34" borderId="20" xfId="0" applyNumberFormat="1" applyFont="1" applyFill="1" applyBorder="1" applyAlignment="1">
      <alignment horizontal="center" vertical="top" wrapText="1"/>
    </xf>
    <xf numFmtId="0" fontId="1" fillId="34" borderId="29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34" borderId="30" xfId="0" applyNumberFormat="1" applyFont="1" applyFill="1" applyBorder="1" applyAlignment="1">
      <alignment horizontal="center" vertical="top" wrapText="1"/>
    </xf>
    <xf numFmtId="0" fontId="1" fillId="34" borderId="31" xfId="0" applyNumberFormat="1" applyFont="1" applyFill="1" applyBorder="1" applyAlignment="1">
      <alignment horizontal="center" vertical="top" wrapText="1"/>
    </xf>
    <xf numFmtId="0" fontId="1" fillId="33" borderId="2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34" borderId="32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 wrapText="1"/>
    </xf>
    <xf numFmtId="177" fontId="0" fillId="0" borderId="24" xfId="0" applyNumberFormat="1" applyBorder="1" applyAlignment="1">
      <alignment vertical="top"/>
    </xf>
    <xf numFmtId="177" fontId="0" fillId="34" borderId="13" xfId="0" applyNumberFormat="1" applyFont="1" applyFill="1" applyBorder="1" applyAlignment="1">
      <alignment vertical="top"/>
    </xf>
    <xf numFmtId="175" fontId="0" fillId="33" borderId="33" xfId="0" applyNumberFormat="1" applyFont="1" applyFill="1" applyBorder="1" applyAlignment="1">
      <alignment horizontal="right" vertical="top"/>
    </xf>
    <xf numFmtId="175" fontId="0" fillId="34" borderId="34" xfId="0" applyNumberFormat="1" applyFont="1" applyFill="1" applyBorder="1" applyAlignment="1">
      <alignment horizontal="right" vertical="top"/>
    </xf>
    <xf numFmtId="175" fontId="0" fillId="0" borderId="27" xfId="0" applyNumberFormat="1" applyFont="1" applyFill="1" applyBorder="1" applyAlignment="1">
      <alignment vertical="top"/>
    </xf>
    <xf numFmtId="0" fontId="0" fillId="0" borderId="13" xfId="0" applyNumberFormat="1" applyFont="1" applyFill="1" applyBorder="1" applyAlignment="1">
      <alignment vertical="top"/>
    </xf>
    <xf numFmtId="0" fontId="0" fillId="0" borderId="24" xfId="0" applyNumberFormat="1" applyFont="1" applyFill="1" applyBorder="1" applyAlignment="1">
      <alignment horizontal="right" vertical="top"/>
    </xf>
    <xf numFmtId="0" fontId="0" fillId="0" borderId="31" xfId="0" applyNumberFormat="1" applyFont="1" applyFill="1" applyBorder="1" applyAlignment="1">
      <alignment horizontal="right" vertical="top"/>
    </xf>
    <xf numFmtId="177" fontId="2" fillId="33" borderId="18" xfId="0" applyNumberFormat="1" applyFont="1" applyFill="1" applyBorder="1" applyAlignment="1">
      <alignment horizontal="right" vertical="top"/>
    </xf>
    <xf numFmtId="177" fontId="2" fillId="33" borderId="14" xfId="0" applyNumberFormat="1" applyFont="1" applyFill="1" applyBorder="1" applyAlignment="1">
      <alignment horizontal="right" vertical="top"/>
    </xf>
    <xf numFmtId="177" fontId="0" fillId="0" borderId="10" xfId="0" applyNumberFormat="1" applyFont="1" applyFill="1" applyBorder="1" applyAlignment="1">
      <alignment horizontal="right" vertical="top"/>
    </xf>
    <xf numFmtId="177" fontId="0" fillId="0" borderId="24" xfId="0" applyNumberFormat="1" applyFont="1" applyFill="1" applyBorder="1" applyAlignment="1">
      <alignment horizontal="right" vertical="top"/>
    </xf>
    <xf numFmtId="188" fontId="0" fillId="0" borderId="24" xfId="0" applyNumberFormat="1" applyFont="1" applyFill="1" applyBorder="1" applyAlignment="1">
      <alignment horizontal="right" vertical="top"/>
    </xf>
    <xf numFmtId="0" fontId="11" fillId="0" borderId="31" xfId="0" applyNumberFormat="1" applyFont="1" applyFill="1" applyBorder="1" applyAlignment="1">
      <alignment horizontal="center" vertical="top" wrapText="1"/>
    </xf>
    <xf numFmtId="175" fontId="0" fillId="33" borderId="35" xfId="0" applyNumberFormat="1" applyFont="1" applyFill="1" applyBorder="1" applyAlignment="1">
      <alignment horizontal="right" vertical="top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177" fontId="0" fillId="34" borderId="37" xfId="0" applyNumberFormat="1" applyFont="1" applyFill="1" applyBorder="1" applyAlignment="1">
      <alignment horizontal="right" vertical="top"/>
    </xf>
    <xf numFmtId="177" fontId="2" fillId="33" borderId="16" xfId="0" applyNumberFormat="1" applyFont="1" applyFill="1" applyBorder="1" applyAlignment="1">
      <alignment horizontal="right" vertical="top"/>
    </xf>
    <xf numFmtId="176" fontId="0" fillId="33" borderId="38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vertical="top"/>
    </xf>
    <xf numFmtId="177" fontId="2" fillId="33" borderId="15" xfId="0" applyNumberFormat="1" applyFont="1" applyFill="1" applyBorder="1" applyAlignment="1">
      <alignment horizontal="right" vertical="top"/>
    </xf>
    <xf numFmtId="177" fontId="0" fillId="33" borderId="14" xfId="0" applyNumberFormat="1" applyFont="1" applyFill="1" applyBorder="1" applyAlignment="1">
      <alignment horizontal="right" vertical="top"/>
    </xf>
    <xf numFmtId="177" fontId="0" fillId="33" borderId="39" xfId="0" applyNumberFormat="1" applyFont="1" applyFill="1" applyBorder="1" applyAlignment="1">
      <alignment horizontal="right" vertical="top"/>
    </xf>
    <xf numFmtId="177" fontId="2" fillId="33" borderId="39" xfId="0" applyNumberFormat="1" applyFont="1" applyFill="1" applyBorder="1" applyAlignment="1">
      <alignment horizontal="right" vertical="top"/>
    </xf>
    <xf numFmtId="176" fontId="0" fillId="0" borderId="10" xfId="0" applyNumberFormat="1" applyFont="1" applyFill="1" applyBorder="1" applyAlignment="1">
      <alignment horizontal="right" vertical="top"/>
    </xf>
    <xf numFmtId="176" fontId="0" fillId="0" borderId="11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6" xfId="0" applyNumberFormat="1" applyFont="1" applyFill="1" applyBorder="1" applyAlignment="1">
      <alignment horizontal="center" vertical="top"/>
    </xf>
    <xf numFmtId="175" fontId="0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vertical="top"/>
    </xf>
    <xf numFmtId="177" fontId="2" fillId="0" borderId="0" xfId="0" applyNumberFormat="1" applyFont="1" applyFill="1" applyBorder="1" applyAlignment="1">
      <alignment horizontal="right" vertical="top"/>
    </xf>
    <xf numFmtId="188" fontId="2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right" vertical="top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top"/>
    </xf>
    <xf numFmtId="176" fontId="0" fillId="35" borderId="40" xfId="0" applyNumberFormat="1" applyFont="1" applyFill="1" applyBorder="1" applyAlignment="1">
      <alignment horizontal="right" vertical="top"/>
    </xf>
    <xf numFmtId="176" fontId="2" fillId="33" borderId="18" xfId="0" applyNumberFormat="1" applyFont="1" applyFill="1" applyBorder="1" applyAlignment="1">
      <alignment horizontal="right" vertical="top"/>
    </xf>
    <xf numFmtId="177" fontId="0" fillId="0" borderId="0" xfId="0" applyNumberFormat="1" applyFont="1" applyFill="1" applyBorder="1" applyAlignment="1">
      <alignment vertical="top"/>
    </xf>
    <xf numFmtId="174" fontId="0" fillId="0" borderId="0" xfId="0" applyNumberFormat="1" applyFont="1" applyFill="1" applyBorder="1" applyAlignment="1">
      <alignment vertical="top"/>
    </xf>
    <xf numFmtId="176" fontId="0" fillId="0" borderId="30" xfId="0" applyNumberFormat="1" applyFont="1" applyFill="1" applyBorder="1" applyAlignment="1">
      <alignment horizontal="center" vertical="center"/>
    </xf>
    <xf numFmtId="176" fontId="0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top"/>
    </xf>
    <xf numFmtId="175" fontId="0" fillId="0" borderId="30" xfId="0" applyNumberFormat="1" applyFont="1" applyFill="1" applyBorder="1" applyAlignment="1">
      <alignment horizontal="right" vertical="top"/>
    </xf>
    <xf numFmtId="175" fontId="2" fillId="33" borderId="42" xfId="0" applyNumberFormat="1" applyFont="1" applyFill="1" applyBorder="1" applyAlignment="1">
      <alignment horizontal="right" vertical="top"/>
    </xf>
    <xf numFmtId="0" fontId="1" fillId="0" borderId="13" xfId="0" applyNumberFormat="1" applyFont="1" applyFill="1" applyBorder="1" applyAlignment="1">
      <alignment vertical="top"/>
    </xf>
    <xf numFmtId="188" fontId="2" fillId="33" borderId="43" xfId="0" applyNumberFormat="1" applyFont="1" applyFill="1" applyBorder="1" applyAlignment="1">
      <alignment horizontal="right" vertical="top"/>
    </xf>
    <xf numFmtId="185" fontId="2" fillId="33" borderId="44" xfId="0" applyNumberFormat="1" applyFont="1" applyFill="1" applyBorder="1" applyAlignment="1">
      <alignment horizontal="right" vertical="top"/>
    </xf>
    <xf numFmtId="185" fontId="2" fillId="33" borderId="33" xfId="0" applyNumberFormat="1" applyFont="1" applyFill="1" applyBorder="1" applyAlignment="1">
      <alignment horizontal="right" vertical="top"/>
    </xf>
    <xf numFmtId="175" fontId="0" fillId="33" borderId="42" xfId="0" applyNumberFormat="1" applyFont="1" applyFill="1" applyBorder="1" applyAlignment="1">
      <alignment horizontal="right" vertical="top"/>
    </xf>
    <xf numFmtId="175" fontId="0" fillId="33" borderId="39" xfId="0" applyNumberFormat="1" applyFont="1" applyFill="1" applyBorder="1" applyAlignment="1">
      <alignment horizontal="right" vertical="top"/>
    </xf>
    <xf numFmtId="177" fontId="0" fillId="33" borderId="39" xfId="0" applyNumberFormat="1" applyFont="1" applyFill="1" applyBorder="1" applyAlignment="1">
      <alignment vertical="top"/>
    </xf>
    <xf numFmtId="175" fontId="0" fillId="33" borderId="14" xfId="0" applyNumberFormat="1" applyFont="1" applyFill="1" applyBorder="1" applyAlignment="1">
      <alignment vertical="top"/>
    </xf>
    <xf numFmtId="177" fontId="0" fillId="33" borderId="16" xfId="0" applyNumberFormat="1" applyFont="1" applyFill="1" applyBorder="1" applyAlignment="1">
      <alignment vertical="top"/>
    </xf>
    <xf numFmtId="175" fontId="0" fillId="33" borderId="43" xfId="0" applyNumberFormat="1" applyFont="1" applyFill="1" applyBorder="1" applyAlignment="1">
      <alignment vertical="top"/>
    </xf>
    <xf numFmtId="176" fontId="0" fillId="0" borderId="24" xfId="0" applyNumberFormat="1" applyFont="1" applyFill="1" applyBorder="1" applyAlignment="1">
      <alignment horizontal="right" vertical="top"/>
    </xf>
    <xf numFmtId="176" fontId="0" fillId="0" borderId="31" xfId="0" applyNumberFormat="1" applyFont="1" applyFill="1" applyBorder="1" applyAlignment="1">
      <alignment horizontal="right" vertical="top"/>
    </xf>
    <xf numFmtId="177" fontId="0" fillId="33" borderId="19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22" fillId="0" borderId="31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" fillId="0" borderId="12" xfId="0" applyNumberFormat="1" applyFont="1" applyFill="1" applyBorder="1" applyAlignment="1">
      <alignment vertical="top"/>
    </xf>
    <xf numFmtId="188" fontId="23" fillId="0" borderId="13" xfId="0" applyNumberFormat="1" applyFont="1" applyBorder="1" applyAlignment="1">
      <alignment/>
    </xf>
    <xf numFmtId="188" fontId="0" fillId="0" borderId="13" xfId="0" applyNumberFormat="1" applyBorder="1" applyAlignment="1">
      <alignment/>
    </xf>
    <xf numFmtId="0" fontId="22" fillId="0" borderId="13" xfId="0" applyNumberFormat="1" applyFont="1" applyFill="1" applyBorder="1" applyAlignment="1">
      <alignment vertical="top"/>
    </xf>
    <xf numFmtId="0" fontId="0" fillId="0" borderId="13" xfId="0" applyBorder="1" applyAlignment="1">
      <alignment/>
    </xf>
    <xf numFmtId="0" fontId="0" fillId="0" borderId="13" xfId="0" applyNumberFormat="1" applyFont="1" applyFill="1" applyBorder="1" applyAlignment="1">
      <alignment vertical="top"/>
    </xf>
    <xf numFmtId="177" fontId="0" fillId="36" borderId="39" xfId="0" applyNumberFormat="1" applyFont="1" applyFill="1" applyBorder="1" applyAlignment="1">
      <alignment horizontal="right" vertical="top"/>
    </xf>
    <xf numFmtId="177" fontId="0" fillId="36" borderId="14" xfId="0" applyNumberFormat="1" applyFill="1" applyBorder="1" applyAlignment="1">
      <alignment vertical="top"/>
    </xf>
    <xf numFmtId="177" fontId="0" fillId="36" borderId="14" xfId="0" applyNumberFormat="1" applyFont="1" applyFill="1" applyBorder="1" applyAlignment="1">
      <alignment vertical="top"/>
    </xf>
    <xf numFmtId="177" fontId="0" fillId="36" borderId="39" xfId="0" applyNumberFormat="1" applyFill="1" applyBorder="1" applyAlignment="1">
      <alignment vertical="top"/>
    </xf>
    <xf numFmtId="177" fontId="0" fillId="34" borderId="0" xfId="0" applyNumberFormat="1" applyFont="1" applyFill="1" applyBorder="1" applyAlignment="1">
      <alignment horizontal="right" vertical="top"/>
    </xf>
    <xf numFmtId="177" fontId="0" fillId="33" borderId="15" xfId="0" applyNumberFormat="1" applyFont="1" applyFill="1" applyBorder="1" applyAlignment="1">
      <alignment horizontal="right" vertical="top"/>
    </xf>
    <xf numFmtId="188" fontId="0" fillId="33" borderId="16" xfId="0" applyNumberFormat="1" applyFont="1" applyFill="1" applyBorder="1" applyAlignment="1">
      <alignment horizontal="right" vertical="top"/>
    </xf>
    <xf numFmtId="176" fontId="0" fillId="34" borderId="28" xfId="0" applyNumberFormat="1" applyFont="1" applyFill="1" applyBorder="1" applyAlignment="1">
      <alignment horizontal="right" vertical="top"/>
    </xf>
    <xf numFmtId="176" fontId="0" fillId="33" borderId="14" xfId="0" applyNumberFormat="1" applyFont="1" applyFill="1" applyBorder="1" applyAlignment="1">
      <alignment horizontal="right" vertical="top"/>
    </xf>
    <xf numFmtId="176" fontId="0" fillId="36" borderId="32" xfId="0" applyNumberFormat="1" applyFont="1" applyFill="1" applyBorder="1" applyAlignment="1">
      <alignment horizontal="right" vertical="top"/>
    </xf>
    <xf numFmtId="177" fontId="0" fillId="0" borderId="13" xfId="0" applyNumberFormat="1" applyFont="1" applyFill="1" applyBorder="1" applyAlignment="1">
      <alignment vertical="top"/>
    </xf>
    <xf numFmtId="188" fontId="0" fillId="33" borderId="13" xfId="0" applyNumberFormat="1" applyFont="1" applyFill="1" applyBorder="1" applyAlignment="1">
      <alignment vertical="top"/>
    </xf>
    <xf numFmtId="190" fontId="0" fillId="0" borderId="13" xfId="0" applyNumberFormat="1" applyFont="1" applyFill="1" applyBorder="1" applyAlignment="1">
      <alignment vertical="top"/>
    </xf>
    <xf numFmtId="188" fontId="0" fillId="0" borderId="0" xfId="0" applyNumberFormat="1" applyFont="1" applyFill="1" applyBorder="1" applyAlignment="1">
      <alignment vertical="top"/>
    </xf>
    <xf numFmtId="175" fontId="23" fillId="0" borderId="13" xfId="0" applyNumberFormat="1" applyFont="1" applyBorder="1" applyAlignment="1">
      <alignment/>
    </xf>
    <xf numFmtId="0" fontId="1" fillId="33" borderId="13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190" fontId="23" fillId="0" borderId="13" xfId="0" applyNumberFormat="1" applyFont="1" applyBorder="1" applyAlignment="1">
      <alignment/>
    </xf>
    <xf numFmtId="0" fontId="22" fillId="0" borderId="30" xfId="0" applyNumberFormat="1" applyFont="1" applyFill="1" applyBorder="1" applyAlignment="1">
      <alignment vertical="top"/>
    </xf>
    <xf numFmtId="0" fontId="22" fillId="0" borderId="28" xfId="0" applyNumberFormat="1" applyFont="1" applyFill="1" applyBorder="1" applyAlignment="1">
      <alignment vertical="top"/>
    </xf>
    <xf numFmtId="0" fontId="22" fillId="33" borderId="13" xfId="0" applyNumberFormat="1" applyFont="1" applyFill="1" applyBorder="1" applyAlignment="1">
      <alignment vertical="top"/>
    </xf>
    <xf numFmtId="2" fontId="1" fillId="0" borderId="13" xfId="0" applyNumberFormat="1" applyFont="1" applyBorder="1" applyAlignment="1">
      <alignment/>
    </xf>
    <xf numFmtId="188" fontId="10" fillId="0" borderId="13" xfId="0" applyNumberFormat="1" applyFont="1" applyBorder="1" applyAlignment="1">
      <alignment/>
    </xf>
    <xf numFmtId="190" fontId="10" fillId="0" borderId="13" xfId="0" applyNumberFormat="1" applyFont="1" applyBorder="1" applyAlignment="1">
      <alignment/>
    </xf>
    <xf numFmtId="0" fontId="24" fillId="0" borderId="0" xfId="0" applyNumberFormat="1" applyFont="1" applyFill="1" applyBorder="1" applyAlignment="1">
      <alignment vertical="top"/>
    </xf>
    <xf numFmtId="2" fontId="0" fillId="0" borderId="12" xfId="0" applyNumberFormat="1" applyFont="1" applyFill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 vertical="top"/>
    </xf>
    <xf numFmtId="2" fontId="2" fillId="33" borderId="33" xfId="0" applyNumberFormat="1" applyFont="1" applyFill="1" applyBorder="1" applyAlignment="1">
      <alignment horizontal="right" vertical="top"/>
    </xf>
    <xf numFmtId="2" fontId="14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1" fillId="0" borderId="28" xfId="0" applyFont="1" applyBorder="1" applyAlignment="1">
      <alignment/>
    </xf>
    <xf numFmtId="0" fontId="2" fillId="0" borderId="13" xfId="0" applyNumberFormat="1" applyFont="1" applyFill="1" applyBorder="1" applyAlignment="1">
      <alignment horizontal="right" vertical="top"/>
    </xf>
    <xf numFmtId="188" fontId="0" fillId="0" borderId="13" xfId="0" applyNumberFormat="1" applyFont="1" applyFill="1" applyBorder="1" applyAlignment="1">
      <alignment vertical="top"/>
    </xf>
    <xf numFmtId="175" fontId="0" fillId="0" borderId="0" xfId="0" applyNumberFormat="1" applyFont="1" applyFill="1" applyBorder="1" applyAlignment="1">
      <alignment vertical="top"/>
    </xf>
    <xf numFmtId="188" fontId="23" fillId="34" borderId="28" xfId="0" applyNumberFormat="1" applyFont="1" applyFill="1" applyBorder="1" applyAlignment="1">
      <alignment/>
    </xf>
    <xf numFmtId="188" fontId="23" fillId="34" borderId="34" xfId="0" applyNumberFormat="1" applyFont="1" applyFill="1" applyBorder="1" applyAlignment="1">
      <alignment/>
    </xf>
    <xf numFmtId="188" fontId="23" fillId="34" borderId="12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Border="1" applyAlignment="1">
      <alignment horizontal="right" vertical="top"/>
    </xf>
    <xf numFmtId="185" fontId="2" fillId="0" borderId="0" xfId="0" applyNumberFormat="1" applyFont="1" applyFill="1" applyBorder="1" applyAlignment="1">
      <alignment horizontal="right" vertical="top"/>
    </xf>
    <xf numFmtId="177" fontId="0" fillId="0" borderId="0" xfId="0" applyNumberFormat="1" applyFill="1" applyBorder="1" applyAlignment="1">
      <alignment vertical="top"/>
    </xf>
    <xf numFmtId="175" fontId="0" fillId="0" borderId="28" xfId="0" applyNumberFormat="1" applyFont="1" applyFill="1" applyBorder="1" applyAlignment="1">
      <alignment vertical="top"/>
    </xf>
    <xf numFmtId="0" fontId="0" fillId="0" borderId="34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175" fontId="0" fillId="0" borderId="27" xfId="0" applyNumberFormat="1" applyFont="1" applyFill="1" applyBorder="1" applyAlignment="1">
      <alignment vertical="top"/>
    </xf>
    <xf numFmtId="175" fontId="0" fillId="0" borderId="37" xfId="0" applyNumberFormat="1" applyFont="1" applyFill="1" applyBorder="1" applyAlignment="1">
      <alignment vertical="top"/>
    </xf>
    <xf numFmtId="175" fontId="0" fillId="0" borderId="10" xfId="0" applyNumberFormat="1" applyFont="1" applyFill="1" applyBorder="1" applyAlignment="1">
      <alignment vertical="top"/>
    </xf>
    <xf numFmtId="0" fontId="0" fillId="0" borderId="45" xfId="0" applyNumberFormat="1" applyFont="1" applyFill="1" applyBorder="1" applyAlignment="1">
      <alignment vertical="top"/>
    </xf>
    <xf numFmtId="175" fontId="0" fillId="0" borderId="22" xfId="0" applyNumberFormat="1" applyFont="1" applyFill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0" borderId="13" xfId="0" applyNumberFormat="1" applyFont="1" applyFill="1" applyBorder="1" applyAlignment="1">
      <alignment vertical="top" wrapText="1"/>
    </xf>
    <xf numFmtId="0" fontId="14" fillId="0" borderId="13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vertical="top" wrapText="1"/>
    </xf>
    <xf numFmtId="0" fontId="2" fillId="0" borderId="46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30" xfId="0" applyNumberFormat="1" applyFont="1" applyFill="1" applyBorder="1" applyAlignment="1">
      <alignment vertical="top"/>
    </xf>
    <xf numFmtId="0" fontId="20" fillId="0" borderId="13" xfId="0" applyNumberFormat="1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0" fontId="0" fillId="0" borderId="28" xfId="0" applyNumberFormat="1" applyFont="1" applyFill="1" applyBorder="1" applyAlignment="1">
      <alignment vertical="top"/>
    </xf>
    <xf numFmtId="0" fontId="0" fillId="0" borderId="12" xfId="0" applyNumberFormat="1" applyFont="1" applyFill="1" applyBorder="1" applyAlignment="1">
      <alignment vertical="top"/>
    </xf>
    <xf numFmtId="177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/>
    </xf>
    <xf numFmtId="189" fontId="23" fillId="33" borderId="13" xfId="0" applyNumberFormat="1" applyFont="1" applyFill="1" applyBorder="1" applyAlignment="1">
      <alignment/>
    </xf>
    <xf numFmtId="2" fontId="10" fillId="33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top"/>
    </xf>
    <xf numFmtId="191" fontId="0" fillId="0" borderId="12" xfId="0" applyNumberFormat="1" applyFont="1" applyFill="1" applyBorder="1" applyAlignment="1">
      <alignment horizontal="right" vertical="top"/>
    </xf>
    <xf numFmtId="191" fontId="0" fillId="0" borderId="13" xfId="0" applyNumberFormat="1" applyFont="1" applyFill="1" applyBorder="1" applyAlignment="1">
      <alignment horizontal="right" vertical="top"/>
    </xf>
    <xf numFmtId="191" fontId="2" fillId="33" borderId="14" xfId="0" applyNumberFormat="1" applyFont="1" applyFill="1" applyBorder="1" applyAlignment="1">
      <alignment horizontal="right" vertical="top"/>
    </xf>
    <xf numFmtId="191" fontId="0" fillId="34" borderId="25" xfId="0" applyNumberFormat="1" applyFont="1" applyFill="1" applyBorder="1" applyAlignment="1">
      <alignment horizontal="right" vertical="top"/>
    </xf>
    <xf numFmtId="191" fontId="0" fillId="34" borderId="3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25" fillId="0" borderId="0" xfId="0" applyNumberFormat="1" applyFont="1" applyFill="1" applyBorder="1" applyAlignment="1">
      <alignment vertical="top"/>
    </xf>
    <xf numFmtId="186" fontId="0" fillId="0" borderId="13" xfId="0" applyNumberFormat="1" applyFont="1" applyFill="1" applyBorder="1" applyAlignment="1">
      <alignment horizontal="right" vertical="top"/>
    </xf>
    <xf numFmtId="186" fontId="2" fillId="33" borderId="47" xfId="0" applyNumberFormat="1" applyFont="1" applyFill="1" applyBorder="1" applyAlignment="1">
      <alignment horizontal="right" vertical="top"/>
    </xf>
    <xf numFmtId="186" fontId="0" fillId="0" borderId="28" xfId="0" applyNumberFormat="1" applyFont="1" applyFill="1" applyBorder="1" applyAlignment="1">
      <alignment horizontal="right" vertical="top"/>
    </xf>
    <xf numFmtId="186" fontId="2" fillId="33" borderId="39" xfId="0" applyNumberFormat="1" applyFont="1" applyFill="1" applyBorder="1" applyAlignment="1">
      <alignment horizontal="right" vertical="top"/>
    </xf>
    <xf numFmtId="186" fontId="0" fillId="0" borderId="48" xfId="0" applyNumberFormat="1" applyFont="1" applyFill="1" applyBorder="1" applyAlignment="1">
      <alignment horizontal="right" vertical="top"/>
    </xf>
    <xf numFmtId="186" fontId="2" fillId="33" borderId="18" xfId="0" applyNumberFormat="1" applyFont="1" applyFill="1" applyBorder="1" applyAlignment="1">
      <alignment horizontal="right" vertical="top"/>
    </xf>
    <xf numFmtId="175" fontId="69" fillId="0" borderId="13" xfId="0" applyNumberFormat="1" applyFont="1" applyBorder="1" applyAlignment="1">
      <alignment/>
    </xf>
    <xf numFmtId="0" fontId="0" fillId="0" borderId="0" xfId="0" applyNumberFormat="1" applyFill="1" applyBorder="1" applyAlignment="1">
      <alignment vertical="top"/>
    </xf>
    <xf numFmtId="0" fontId="22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189" fontId="14" fillId="0" borderId="13" xfId="0" applyNumberFormat="1" applyFont="1" applyFill="1" applyBorder="1" applyAlignment="1">
      <alignment/>
    </xf>
    <xf numFmtId="175" fontId="2" fillId="33" borderId="43" xfId="0" applyNumberFormat="1" applyFont="1" applyFill="1" applyBorder="1" applyAlignment="1">
      <alignment horizontal="right" vertical="top"/>
    </xf>
    <xf numFmtId="189" fontId="0" fillId="0" borderId="13" xfId="0" applyNumberFormat="1" applyBorder="1" applyAlignment="1">
      <alignment/>
    </xf>
    <xf numFmtId="0" fontId="0" fillId="0" borderId="34" xfId="0" applyFill="1" applyBorder="1" applyAlignment="1">
      <alignment/>
    </xf>
    <xf numFmtId="2" fontId="0" fillId="0" borderId="0" xfId="0" applyNumberFormat="1" applyAlignment="1">
      <alignment/>
    </xf>
    <xf numFmtId="0" fontId="14" fillId="0" borderId="28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4" fillId="37" borderId="28" xfId="0" applyFont="1" applyFill="1" applyBorder="1" applyAlignment="1">
      <alignment horizontal="center" wrapText="1"/>
    </xf>
    <xf numFmtId="0" fontId="0" fillId="37" borderId="12" xfId="0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34" xfId="0" applyBorder="1" applyAlignment="1">
      <alignment wrapText="1"/>
    </xf>
    <xf numFmtId="175" fontId="0" fillId="0" borderId="28" xfId="0" applyNumberFormat="1" applyBorder="1" applyAlignment="1">
      <alignment wrapText="1"/>
    </xf>
    <xf numFmtId="189" fontId="0" fillId="0" borderId="28" xfId="0" applyNumberFormat="1" applyBorder="1" applyAlignment="1">
      <alignment wrapText="1"/>
    </xf>
    <xf numFmtId="188" fontId="0" fillId="0" borderId="28" xfId="0" applyNumberFormat="1" applyBorder="1" applyAlignment="1">
      <alignment wrapText="1"/>
    </xf>
    <xf numFmtId="176" fontId="0" fillId="34" borderId="34" xfId="0" applyNumberFormat="1" applyFont="1" applyFill="1" applyBorder="1" applyAlignment="1">
      <alignment horizontal="center" vertical="center"/>
    </xf>
    <xf numFmtId="176" fontId="0" fillId="34" borderId="33" xfId="0" applyNumberFormat="1" applyFont="1" applyFill="1" applyBorder="1" applyAlignment="1">
      <alignment horizontal="center" vertical="center"/>
    </xf>
    <xf numFmtId="175" fontId="0" fillId="34" borderId="13" xfId="0" applyNumberFormat="1" applyFont="1" applyFill="1" applyBorder="1" applyAlignment="1">
      <alignment horizontal="center" vertical="center"/>
    </xf>
    <xf numFmtId="175" fontId="0" fillId="34" borderId="31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175" fontId="0" fillId="0" borderId="0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30" fillId="0" borderId="28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32" fillId="0" borderId="28" xfId="0" applyFont="1" applyBorder="1" applyAlignment="1">
      <alignment wrapText="1"/>
    </xf>
    <xf numFmtId="0" fontId="33" fillId="0" borderId="12" xfId="0" applyFont="1" applyBorder="1" applyAlignment="1">
      <alignment wrapText="1"/>
    </xf>
    <xf numFmtId="0" fontId="2" fillId="0" borderId="49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1" fillId="0" borderId="50" xfId="0" applyNumberFormat="1" applyFont="1" applyFill="1" applyBorder="1" applyAlignment="1">
      <alignment horizontal="center" vertical="top" wrapText="1"/>
    </xf>
    <xf numFmtId="0" fontId="1" fillId="0" borderId="51" xfId="0" applyNumberFormat="1" applyFont="1" applyFill="1" applyBorder="1" applyAlignment="1">
      <alignment horizontal="center" vertical="top" wrapText="1"/>
    </xf>
    <xf numFmtId="0" fontId="1" fillId="0" borderId="52" xfId="0" applyNumberFormat="1" applyFont="1" applyFill="1" applyBorder="1" applyAlignment="1">
      <alignment horizontal="center" vertical="top" wrapText="1"/>
    </xf>
    <xf numFmtId="176" fontId="0" fillId="0" borderId="53" xfId="0" applyNumberFormat="1" applyFont="1" applyFill="1" applyBorder="1" applyAlignment="1">
      <alignment horizontal="right" vertical="top"/>
    </xf>
    <xf numFmtId="176" fontId="0" fillId="0" borderId="54" xfId="0" applyNumberFormat="1" applyFont="1" applyFill="1" applyBorder="1" applyAlignment="1">
      <alignment horizontal="right" vertical="top"/>
    </xf>
    <xf numFmtId="176" fontId="0" fillId="0" borderId="47" xfId="0" applyNumberFormat="1" applyFont="1" applyFill="1" applyBorder="1" applyAlignment="1">
      <alignment horizontal="right" vertical="top"/>
    </xf>
    <xf numFmtId="175" fontId="0" fillId="0" borderId="48" xfId="0" applyNumberFormat="1" applyFont="1" applyFill="1" applyBorder="1" applyAlignment="1">
      <alignment horizontal="right" vertical="top"/>
    </xf>
    <xf numFmtId="175" fontId="0" fillId="0" borderId="35" xfId="0" applyNumberFormat="1" applyFont="1" applyFill="1" applyBorder="1" applyAlignment="1">
      <alignment horizontal="right" vertical="top"/>
    </xf>
    <xf numFmtId="176" fontId="0" fillId="0" borderId="55" xfId="0" applyNumberFormat="1" applyFont="1" applyFill="1" applyBorder="1" applyAlignment="1">
      <alignment horizontal="right" vertical="top"/>
    </xf>
    <xf numFmtId="177" fontId="0" fillId="34" borderId="0" xfId="0" applyNumberFormat="1" applyFont="1" applyFill="1" applyBorder="1" applyAlignment="1">
      <alignment horizontal="center" vertical="center"/>
    </xf>
    <xf numFmtId="177" fontId="0" fillId="34" borderId="35" xfId="0" applyNumberFormat="1" applyFont="1" applyFill="1" applyBorder="1" applyAlignment="1">
      <alignment horizontal="center" vertical="center"/>
    </xf>
    <xf numFmtId="176" fontId="0" fillId="34" borderId="38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2" fillId="34" borderId="56" xfId="0" applyNumberFormat="1" applyFont="1" applyFill="1" applyBorder="1" applyAlignment="1">
      <alignment horizontal="center" vertical="top" wrapText="1"/>
    </xf>
    <xf numFmtId="0" fontId="2" fillId="34" borderId="21" xfId="0" applyNumberFormat="1" applyFont="1" applyFill="1" applyBorder="1" applyAlignment="1">
      <alignment horizontal="center" vertical="top" wrapText="1"/>
    </xf>
    <xf numFmtId="0" fontId="2" fillId="33" borderId="57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4" borderId="58" xfId="0" applyNumberFormat="1" applyFont="1" applyFill="1" applyBorder="1" applyAlignment="1">
      <alignment horizontal="center" vertical="top" wrapText="1"/>
    </xf>
    <xf numFmtId="0" fontId="2" fillId="34" borderId="12" xfId="0" applyNumberFormat="1" applyFont="1" applyFill="1" applyBorder="1" applyAlignment="1">
      <alignment horizontal="center" vertical="top" wrapText="1"/>
    </xf>
    <xf numFmtId="0" fontId="2" fillId="0" borderId="59" xfId="0" applyNumberFormat="1" applyFont="1" applyFill="1" applyBorder="1" applyAlignment="1">
      <alignment horizontal="center" vertical="top" wrapText="1"/>
    </xf>
    <xf numFmtId="0" fontId="2" fillId="0" borderId="60" xfId="0" applyNumberFormat="1" applyFont="1" applyFill="1" applyBorder="1" applyAlignment="1">
      <alignment horizontal="center" vertical="top" wrapText="1"/>
    </xf>
    <xf numFmtId="0" fontId="2" fillId="34" borderId="61" xfId="0" applyNumberFormat="1" applyFont="1" applyFill="1" applyBorder="1" applyAlignment="1">
      <alignment horizontal="center" vertical="top" wrapText="1"/>
    </xf>
    <xf numFmtId="0" fontId="2" fillId="34" borderId="19" xfId="0" applyNumberFormat="1" applyFont="1" applyFill="1" applyBorder="1" applyAlignment="1">
      <alignment horizontal="center" vertical="top" wrapText="1"/>
    </xf>
    <xf numFmtId="0" fontId="2" fillId="34" borderId="62" xfId="0" applyNumberFormat="1" applyFont="1" applyFill="1" applyBorder="1" applyAlignment="1">
      <alignment horizontal="center" vertical="top" wrapText="1"/>
    </xf>
    <xf numFmtId="0" fontId="2" fillId="0" borderId="57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34" borderId="49" xfId="0" applyNumberFormat="1" applyFont="1" applyFill="1" applyBorder="1" applyAlignment="1">
      <alignment horizontal="center" vertical="top" wrapText="1"/>
    </xf>
    <xf numFmtId="0" fontId="2" fillId="0" borderId="58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12" fillId="0" borderId="56" xfId="0" applyNumberFormat="1" applyFont="1" applyFill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57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top" wrapText="1"/>
    </xf>
    <xf numFmtId="0" fontId="2" fillId="33" borderId="56" xfId="0" applyNumberFormat="1" applyFont="1" applyFill="1" applyBorder="1" applyAlignment="1">
      <alignment horizontal="center" vertical="top" wrapText="1"/>
    </xf>
    <xf numFmtId="0" fontId="2" fillId="33" borderId="21" xfId="0" applyNumberFormat="1" applyFont="1" applyFill="1" applyBorder="1" applyAlignment="1">
      <alignment horizontal="center" vertical="top" wrapText="1"/>
    </xf>
    <xf numFmtId="0" fontId="2" fillId="34" borderId="59" xfId="0" applyNumberFormat="1" applyFont="1" applyFill="1" applyBorder="1" applyAlignment="1">
      <alignment horizontal="center" vertical="top" wrapText="1"/>
    </xf>
    <xf numFmtId="0" fontId="2" fillId="34" borderId="60" xfId="0" applyNumberFormat="1" applyFont="1" applyFill="1" applyBorder="1" applyAlignment="1">
      <alignment horizontal="center" vertical="top" wrapText="1"/>
    </xf>
    <xf numFmtId="0" fontId="14" fillId="0" borderId="57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63" xfId="0" applyNumberFormat="1" applyFont="1" applyFill="1" applyBorder="1" applyAlignment="1">
      <alignment horizontal="center" vertical="top" wrapText="1"/>
    </xf>
    <xf numFmtId="0" fontId="2" fillId="0" borderId="51" xfId="0" applyNumberFormat="1" applyFont="1" applyFill="1" applyBorder="1" applyAlignment="1">
      <alignment horizontal="center" vertical="top" wrapText="1"/>
    </xf>
    <xf numFmtId="0" fontId="2" fillId="0" borderId="64" xfId="0" applyNumberFormat="1" applyFont="1" applyFill="1" applyBorder="1" applyAlignment="1">
      <alignment horizontal="center" vertical="top" wrapText="1"/>
    </xf>
    <xf numFmtId="0" fontId="2" fillId="34" borderId="57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10" fillId="0" borderId="58" xfId="0" applyNumberFormat="1" applyFont="1" applyFill="1" applyBorder="1" applyAlignment="1">
      <alignment horizontal="center" vertical="top" wrapText="1"/>
    </xf>
    <xf numFmtId="0" fontId="10" fillId="0" borderId="12" xfId="0" applyNumberFormat="1" applyFont="1" applyFill="1" applyBorder="1" applyAlignment="1">
      <alignment horizontal="center" vertical="top" wrapText="1"/>
    </xf>
    <xf numFmtId="0" fontId="15" fillId="0" borderId="0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ФФПМР_ИБР_Ставрополь_2006 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51"/>
  <sheetViews>
    <sheetView zoomScalePageLayoutView="0" workbookViewId="0" topLeftCell="C100">
      <selection activeCell="Q43" sqref="Q43"/>
    </sheetView>
  </sheetViews>
  <sheetFormatPr defaultColWidth="9.00390625" defaultRowHeight="12.75"/>
  <cols>
    <col min="1" max="1" width="4.125" style="0" customWidth="1"/>
    <col min="2" max="2" width="16.75390625" style="0" customWidth="1"/>
    <col min="6" max="6" width="10.875" style="0" customWidth="1"/>
    <col min="10" max="10" width="12.00390625" style="0" customWidth="1"/>
    <col min="11" max="11" width="12.125" style="0" bestFit="1" customWidth="1"/>
    <col min="18" max="18" width="11.125" style="0" bestFit="1" customWidth="1"/>
    <col min="25" max="25" width="11.75390625" style="0" bestFit="1" customWidth="1"/>
    <col min="26" max="26" width="8.75390625" style="0" customWidth="1"/>
    <col min="32" max="32" width="11.125" style="0" bestFit="1" customWidth="1"/>
    <col min="38" max="38" width="12.75390625" style="0" customWidth="1"/>
    <col min="39" max="39" width="10.625" style="0" bestFit="1" customWidth="1"/>
    <col min="60" max="60" width="7.125" style="0" customWidth="1"/>
    <col min="66" max="66" width="5.75390625" style="0" customWidth="1"/>
    <col min="69" max="69" width="7.75390625" style="0" customWidth="1"/>
    <col min="74" max="74" width="6.875" style="0" customWidth="1"/>
  </cols>
  <sheetData>
    <row r="1" spans="1:76" ht="39" customHeight="1">
      <c r="A1" s="1"/>
      <c r="B1" s="1" t="s">
        <v>49</v>
      </c>
      <c r="C1" s="310" t="s">
        <v>144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2"/>
      <c r="V1" s="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21"/>
      <c r="AU1" s="21"/>
      <c r="AV1" s="1"/>
      <c r="AW1" s="1"/>
      <c r="AX1" s="1"/>
      <c r="AY1" s="1"/>
      <c r="AZ1" s="1"/>
      <c r="BA1" s="1"/>
      <c r="BB1" s="1"/>
      <c r="BC1" s="1"/>
      <c r="BD1" s="21"/>
      <c r="BE1" s="21"/>
      <c r="BF1" s="21"/>
      <c r="BG1" s="21"/>
      <c r="BH1" s="2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8.75" thickBot="1">
      <c r="A2" s="1"/>
      <c r="B2" s="1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"/>
      <c r="Q2" s="2"/>
      <c r="R2" s="2"/>
      <c r="S2" s="2"/>
      <c r="T2" s="2"/>
      <c r="U2" s="2"/>
      <c r="V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3.5" thickBot="1">
      <c r="A3" s="288" t="s">
        <v>1</v>
      </c>
      <c r="B3" s="261" t="s">
        <v>0</v>
      </c>
      <c r="C3" s="304"/>
      <c r="D3" s="304"/>
      <c r="E3" s="275" t="s">
        <v>147</v>
      </c>
      <c r="F3" s="303" t="s">
        <v>24</v>
      </c>
      <c r="G3" s="304"/>
      <c r="H3" s="304"/>
      <c r="I3" s="304"/>
      <c r="J3" s="304"/>
      <c r="K3" s="304"/>
      <c r="L3" s="305"/>
      <c r="M3" s="303" t="s">
        <v>25</v>
      </c>
      <c r="N3" s="304"/>
      <c r="O3" s="304"/>
      <c r="P3" s="304"/>
      <c r="Q3" s="304"/>
      <c r="R3" s="304"/>
      <c r="S3" s="305"/>
      <c r="T3" s="303" t="s">
        <v>33</v>
      </c>
      <c r="U3" s="304"/>
      <c r="V3" s="304"/>
      <c r="W3" s="304"/>
      <c r="X3" s="304"/>
      <c r="Y3" s="304"/>
      <c r="Z3" s="305"/>
      <c r="AA3" s="303" t="s">
        <v>41</v>
      </c>
      <c r="AB3" s="304"/>
      <c r="AC3" s="304"/>
      <c r="AD3" s="304"/>
      <c r="AE3" s="304"/>
      <c r="AF3" s="304"/>
      <c r="AG3" s="305"/>
      <c r="AH3" s="306" t="s">
        <v>75</v>
      </c>
      <c r="AI3" s="281" t="s">
        <v>51</v>
      </c>
      <c r="AJ3" s="281" t="s">
        <v>74</v>
      </c>
      <c r="AK3" s="291" t="s">
        <v>92</v>
      </c>
      <c r="AL3" s="308" t="s">
        <v>148</v>
      </c>
      <c r="AM3" s="290" t="s">
        <v>59</v>
      </c>
      <c r="AN3" s="297" t="s">
        <v>79</v>
      </c>
      <c r="AO3" s="299" t="s">
        <v>64</v>
      </c>
      <c r="AP3" s="96" t="s">
        <v>2</v>
      </c>
      <c r="AQ3" s="97" t="s">
        <v>3</v>
      </c>
      <c r="AR3" s="98" t="s">
        <v>4</v>
      </c>
      <c r="AS3" s="287" t="s">
        <v>60</v>
      </c>
      <c r="AT3" s="301" t="s">
        <v>54</v>
      </c>
      <c r="AU3" s="281" t="s">
        <v>55</v>
      </c>
      <c r="AV3" s="291" t="s">
        <v>105</v>
      </c>
      <c r="AW3" s="281" t="s">
        <v>56</v>
      </c>
      <c r="AX3" s="290" t="s">
        <v>101</v>
      </c>
      <c r="AY3" s="288" t="s">
        <v>107</v>
      </c>
      <c r="AZ3" s="291" t="s">
        <v>108</v>
      </c>
      <c r="BA3" s="291" t="s">
        <v>109</v>
      </c>
      <c r="BB3" s="291" t="s">
        <v>57</v>
      </c>
      <c r="BC3" s="290" t="s">
        <v>103</v>
      </c>
      <c r="BD3" s="293" t="s">
        <v>50</v>
      </c>
      <c r="BE3" s="295" t="s">
        <v>106</v>
      </c>
      <c r="BF3" s="291" t="s">
        <v>58</v>
      </c>
      <c r="BG3" s="281" t="s">
        <v>77</v>
      </c>
      <c r="BH3" s="281" t="s">
        <v>99</v>
      </c>
      <c r="BI3" s="285" t="s">
        <v>95</v>
      </c>
      <c r="BJ3" s="96" t="s">
        <v>5</v>
      </c>
      <c r="BK3" s="97" t="s">
        <v>6</v>
      </c>
      <c r="BL3" s="98" t="s">
        <v>7</v>
      </c>
      <c r="BM3" s="287" t="s">
        <v>61</v>
      </c>
      <c r="BN3" s="288" t="s">
        <v>62</v>
      </c>
      <c r="BO3" s="290" t="s">
        <v>98</v>
      </c>
      <c r="BP3" s="277" t="s">
        <v>97</v>
      </c>
      <c r="BQ3" s="275" t="s">
        <v>63</v>
      </c>
      <c r="BR3" s="277" t="s">
        <v>96</v>
      </c>
      <c r="BS3" s="277" t="s">
        <v>94</v>
      </c>
      <c r="BT3" s="279" t="s">
        <v>93</v>
      </c>
      <c r="BU3" s="281" t="s">
        <v>73</v>
      </c>
      <c r="BV3" s="283" t="s">
        <v>102</v>
      </c>
      <c r="BW3" s="261" t="s">
        <v>111</v>
      </c>
      <c r="BX3" s="261" t="s">
        <v>110</v>
      </c>
    </row>
    <row r="4" spans="1:76" ht="193.5" customHeight="1">
      <c r="A4" s="289"/>
      <c r="B4" s="262"/>
      <c r="C4" s="52" t="s">
        <v>104</v>
      </c>
      <c r="D4" s="52" t="s">
        <v>88</v>
      </c>
      <c r="E4" s="276"/>
      <c r="F4" s="50" t="s">
        <v>80</v>
      </c>
      <c r="G4" s="50" t="s">
        <v>52</v>
      </c>
      <c r="H4" s="52" t="s">
        <v>86</v>
      </c>
      <c r="I4" s="52" t="s">
        <v>87</v>
      </c>
      <c r="J4" s="51" t="s">
        <v>82</v>
      </c>
      <c r="K4" s="52" t="s">
        <v>112</v>
      </c>
      <c r="L4" s="198" t="s">
        <v>81</v>
      </c>
      <c r="M4" s="50" t="s">
        <v>80</v>
      </c>
      <c r="N4" s="50" t="s">
        <v>52</v>
      </c>
      <c r="O4" s="52" t="s">
        <v>89</v>
      </c>
      <c r="P4" s="52" t="s">
        <v>90</v>
      </c>
      <c r="Q4" s="51" t="s">
        <v>83</v>
      </c>
      <c r="R4" s="52" t="s">
        <v>76</v>
      </c>
      <c r="S4" s="198" t="s">
        <v>81</v>
      </c>
      <c r="T4" s="50" t="s">
        <v>80</v>
      </c>
      <c r="U4" s="50" t="s">
        <v>53</v>
      </c>
      <c r="V4" s="52" t="s">
        <v>89</v>
      </c>
      <c r="W4" s="52" t="s">
        <v>90</v>
      </c>
      <c r="X4" s="51" t="s">
        <v>84</v>
      </c>
      <c r="Y4" s="52" t="s">
        <v>76</v>
      </c>
      <c r="Z4" s="198" t="s">
        <v>81</v>
      </c>
      <c r="AA4" s="50" t="s">
        <v>80</v>
      </c>
      <c r="AB4" s="50" t="s">
        <v>52</v>
      </c>
      <c r="AC4" s="52" t="s">
        <v>89</v>
      </c>
      <c r="AD4" s="52" t="s">
        <v>91</v>
      </c>
      <c r="AE4" s="51" t="s">
        <v>85</v>
      </c>
      <c r="AF4" s="52" t="s">
        <v>76</v>
      </c>
      <c r="AG4" s="198" t="s">
        <v>81</v>
      </c>
      <c r="AH4" s="307"/>
      <c r="AI4" s="282"/>
      <c r="AJ4" s="282"/>
      <c r="AK4" s="292"/>
      <c r="AL4" s="309"/>
      <c r="AM4" s="286"/>
      <c r="AN4" s="298"/>
      <c r="AO4" s="300"/>
      <c r="AP4" s="263" t="s">
        <v>100</v>
      </c>
      <c r="AQ4" s="264"/>
      <c r="AR4" s="265"/>
      <c r="AS4" s="286"/>
      <c r="AT4" s="302"/>
      <c r="AU4" s="282"/>
      <c r="AV4" s="292"/>
      <c r="AW4" s="282"/>
      <c r="AX4" s="286"/>
      <c r="AY4" s="289"/>
      <c r="AZ4" s="292"/>
      <c r="BA4" s="292"/>
      <c r="BB4" s="292"/>
      <c r="BC4" s="286"/>
      <c r="BD4" s="294"/>
      <c r="BE4" s="296"/>
      <c r="BF4" s="292"/>
      <c r="BG4" s="282"/>
      <c r="BH4" s="282"/>
      <c r="BI4" s="286"/>
      <c r="BJ4" s="263" t="s">
        <v>100</v>
      </c>
      <c r="BK4" s="264"/>
      <c r="BL4" s="265"/>
      <c r="BM4" s="286"/>
      <c r="BN4" s="289"/>
      <c r="BO4" s="286"/>
      <c r="BP4" s="278"/>
      <c r="BQ4" s="276"/>
      <c r="BR4" s="278"/>
      <c r="BS4" s="278"/>
      <c r="BT4" s="280"/>
      <c r="BU4" s="282"/>
      <c r="BV4" s="284"/>
      <c r="BW4" s="262"/>
      <c r="BX4" s="262"/>
    </row>
    <row r="5" spans="1:76" ht="12.75">
      <c r="A5" s="53"/>
      <c r="B5" s="82">
        <v>1</v>
      </c>
      <c r="C5" s="62" t="s">
        <v>15</v>
      </c>
      <c r="D5" s="58" t="s">
        <v>16</v>
      </c>
      <c r="E5" s="85">
        <v>2</v>
      </c>
      <c r="F5" s="57" t="s">
        <v>17</v>
      </c>
      <c r="G5" s="57" t="s">
        <v>18</v>
      </c>
      <c r="H5" s="58" t="s">
        <v>19</v>
      </c>
      <c r="I5" s="58" t="s">
        <v>20</v>
      </c>
      <c r="J5" s="54" t="s">
        <v>21</v>
      </c>
      <c r="K5" s="81" t="s">
        <v>22</v>
      </c>
      <c r="L5" s="82" t="s">
        <v>23</v>
      </c>
      <c r="M5" s="57" t="s">
        <v>26</v>
      </c>
      <c r="N5" s="57" t="s">
        <v>27</v>
      </c>
      <c r="O5" s="58" t="s">
        <v>28</v>
      </c>
      <c r="P5" s="58" t="s">
        <v>29</v>
      </c>
      <c r="Q5" s="54" t="s">
        <v>30</v>
      </c>
      <c r="R5" s="81" t="s">
        <v>31</v>
      </c>
      <c r="S5" s="81" t="s">
        <v>32</v>
      </c>
      <c r="T5" s="57" t="s">
        <v>34</v>
      </c>
      <c r="U5" s="57" t="s">
        <v>35</v>
      </c>
      <c r="V5" s="58" t="s">
        <v>36</v>
      </c>
      <c r="W5" s="58" t="s">
        <v>37</v>
      </c>
      <c r="X5" s="54" t="s">
        <v>38</v>
      </c>
      <c r="Y5" s="81" t="s">
        <v>39</v>
      </c>
      <c r="Z5" s="82" t="s">
        <v>40</v>
      </c>
      <c r="AA5" s="57" t="s">
        <v>42</v>
      </c>
      <c r="AB5" s="57" t="s">
        <v>43</v>
      </c>
      <c r="AC5" s="58" t="s">
        <v>44</v>
      </c>
      <c r="AD5" s="58" t="s">
        <v>45</v>
      </c>
      <c r="AE5" s="54" t="s">
        <v>46</v>
      </c>
      <c r="AF5" s="81" t="s">
        <v>47</v>
      </c>
      <c r="AG5" s="82" t="s">
        <v>48</v>
      </c>
      <c r="AH5" s="60">
        <v>8</v>
      </c>
      <c r="AI5" s="56">
        <v>9</v>
      </c>
      <c r="AJ5" s="54">
        <v>10</v>
      </c>
      <c r="AK5" s="58">
        <v>11</v>
      </c>
      <c r="AL5" s="58">
        <v>12</v>
      </c>
      <c r="AM5" s="59">
        <v>13</v>
      </c>
      <c r="AN5" s="61">
        <v>14</v>
      </c>
      <c r="AO5" s="56">
        <v>15</v>
      </c>
      <c r="AP5" s="62">
        <v>16</v>
      </c>
      <c r="AQ5" s="63">
        <v>17</v>
      </c>
      <c r="AR5" s="63">
        <v>18</v>
      </c>
      <c r="AS5" s="64">
        <v>19</v>
      </c>
      <c r="AT5" s="62">
        <v>20</v>
      </c>
      <c r="AU5" s="54">
        <v>21</v>
      </c>
      <c r="AV5" s="63">
        <v>22</v>
      </c>
      <c r="AW5" s="54">
        <v>23</v>
      </c>
      <c r="AX5" s="64">
        <v>24</v>
      </c>
      <c r="AY5" s="62">
        <v>25</v>
      </c>
      <c r="AZ5" s="58">
        <v>26</v>
      </c>
      <c r="BA5" s="58">
        <v>27</v>
      </c>
      <c r="BB5" s="58">
        <v>28</v>
      </c>
      <c r="BC5" s="55">
        <v>29</v>
      </c>
      <c r="BD5" s="65">
        <v>30</v>
      </c>
      <c r="BE5" s="79">
        <v>31</v>
      </c>
      <c r="BF5" s="58">
        <v>32</v>
      </c>
      <c r="BG5" s="58">
        <v>33</v>
      </c>
      <c r="BH5" s="58">
        <v>34</v>
      </c>
      <c r="BI5" s="81">
        <v>35</v>
      </c>
      <c r="BJ5" s="62">
        <v>36</v>
      </c>
      <c r="BK5" s="63">
        <v>37</v>
      </c>
      <c r="BL5" s="63">
        <v>38</v>
      </c>
      <c r="BM5" s="82">
        <v>39</v>
      </c>
      <c r="BN5" s="62">
        <v>40</v>
      </c>
      <c r="BO5" s="82">
        <v>41</v>
      </c>
      <c r="BP5" s="83">
        <v>42</v>
      </c>
      <c r="BQ5" s="84">
        <v>43</v>
      </c>
      <c r="BR5" s="81">
        <v>44</v>
      </c>
      <c r="BS5" s="83">
        <v>45</v>
      </c>
      <c r="BT5" s="85">
        <v>46</v>
      </c>
      <c r="BU5" s="58">
        <v>47</v>
      </c>
      <c r="BV5" s="58">
        <v>48</v>
      </c>
      <c r="BW5" s="58">
        <v>49</v>
      </c>
      <c r="BX5" s="58">
        <v>50</v>
      </c>
    </row>
    <row r="6" spans="1:76" ht="12.75">
      <c r="A6" s="4">
        <v>1</v>
      </c>
      <c r="B6" s="17" t="s">
        <v>8</v>
      </c>
      <c r="C6" s="10">
        <v>0</v>
      </c>
      <c r="D6" s="10">
        <v>3949</v>
      </c>
      <c r="E6" s="192">
        <v>3949</v>
      </c>
      <c r="F6" s="35">
        <f>IF(J$13&lt;0,(-J6/J$13)*($L$6/$E$13),((J6/J$13)*($L$6/$E$13)))</f>
        <v>1.1356515074821056</v>
      </c>
      <c r="G6" s="35">
        <f>IF(K$13&lt;0,(-K6/K$13)*($L$6/$E$13),((K6/K$13)*($L$6/$E$13)))</f>
        <v>0.2595957064137503</v>
      </c>
      <c r="H6" s="6">
        <v>39467</v>
      </c>
      <c r="I6" s="6">
        <v>43057</v>
      </c>
      <c r="J6" s="36">
        <f>(H6*0.4+I6*0.6)/E6</f>
        <v>10.539630286148393</v>
      </c>
      <c r="K6" s="221">
        <v>5.61002786</v>
      </c>
      <c r="L6" s="266">
        <v>5826.7</v>
      </c>
      <c r="M6" s="35">
        <f>IF(Q$13&lt;0,(-Q6/Q$13)*($S$6/$E$13),((Q6/Q$13)*($S$6/$E$13)))</f>
        <v>0.0001070674746973847</v>
      </c>
      <c r="N6" s="35">
        <f aca="true" t="shared" si="0" ref="M6:N13">IF(R$13&lt;0,(-R6/R$13)*($S$6/$E$13),((R6/R$13)*($S$6/$E$13)))</f>
        <v>2.7489069669613694E-06</v>
      </c>
      <c r="O6" s="6">
        <v>2</v>
      </c>
      <c r="P6" s="6">
        <v>0</v>
      </c>
      <c r="Q6" s="36">
        <f aca="true" t="shared" si="1" ref="Q6:Q13">(O6*0.4+P6*0.6)/E6</f>
        <v>0.00020258293238794632</v>
      </c>
      <c r="R6" s="221">
        <v>0.00025323</v>
      </c>
      <c r="S6" s="269">
        <v>76</v>
      </c>
      <c r="T6" s="35">
        <f aca="true" t="shared" si="2" ref="T6:U13">IF(X$13&lt;0,(-X6/X$13)*($Z$6/$E$13),((X6/X$13)*($Z$6/$E$13)))</f>
        <v>0.3493853228718754</v>
      </c>
      <c r="U6" s="35">
        <f t="shared" si="2"/>
        <v>-0.1739050142206701</v>
      </c>
      <c r="V6" s="6">
        <v>1497</v>
      </c>
      <c r="W6" s="6">
        <v>1214</v>
      </c>
      <c r="X6" s="36">
        <f>(V6*0.4+W6*0.6)/E6</f>
        <v>0.33608508483160293</v>
      </c>
      <c r="Y6" s="225">
        <v>-0.02177767</v>
      </c>
      <c r="Z6" s="271">
        <v>1581.4</v>
      </c>
      <c r="AA6" s="35">
        <f>IF(AE$13&lt;0,(-AE6/AE$13)*($AG$6/$E$13),((AE6/AE$13)*($AG$6/$E$13)))</f>
        <v>0.7161640199215006</v>
      </c>
      <c r="AB6" s="35">
        <f aca="true" t="shared" si="3" ref="AA6:AB13">IF(AF$13&lt;0,(-AF6/AF$13)*($AG$6/$E$13),((AF6/AF$13)*($AG$6/$E$13)))</f>
        <v>0.15488317721139405</v>
      </c>
      <c r="AC6" s="6">
        <v>1718</v>
      </c>
      <c r="AD6" s="6">
        <v>2887</v>
      </c>
      <c r="AE6" s="36">
        <f aca="true" t="shared" si="4" ref="AE6:AE13">(AC6*0.4+AD6*0.6)/E6</f>
        <v>0.6126614332742467</v>
      </c>
      <c r="AF6" s="221">
        <v>0.4902507</v>
      </c>
      <c r="AG6" s="271">
        <v>5040.7</v>
      </c>
      <c r="AH6" s="38">
        <f>F6+M6+T6+AA6</f>
        <v>2.201307917750179</v>
      </c>
      <c r="AI6" s="272">
        <f>BU$6/SUM(E6:E12)</f>
        <v>1.4412888377445339</v>
      </c>
      <c r="AJ6" s="37">
        <f>G6+N6+U6+AB6</f>
        <v>0.2405766183114412</v>
      </c>
      <c r="AK6" s="72">
        <v>1</v>
      </c>
      <c r="AL6" s="212">
        <v>0.00078346</v>
      </c>
      <c r="AM6" s="215">
        <f>IF(AL6=0,AK6,AK6*AL6)</f>
        <v>0.00078346</v>
      </c>
      <c r="AN6" s="19">
        <f>+(AH6/$AI$6)+((AJ6-AH6)/$AI$6)*0.25*AM6</f>
        <v>1.5270526083851659</v>
      </c>
      <c r="AO6" s="24">
        <f>AN6/BT6</f>
        <v>1.4593567415481181</v>
      </c>
      <c r="AP6" s="76">
        <v>0.4902</v>
      </c>
      <c r="AQ6" s="77">
        <v>0.2815</v>
      </c>
      <c r="AR6" s="78">
        <v>0.2283</v>
      </c>
      <c r="AS6" s="25">
        <f>+IF(AND(AP6&gt;0,AQ6&gt;0,AR6&gt;0,AP6+AQ6+AR6=1),1,НЕВЕРНО)</f>
        <v>1</v>
      </c>
      <c r="AT6" s="26">
        <v>1.6</v>
      </c>
      <c r="AU6" s="248">
        <f>+SUMPRODUCT(AT6:AT12,E6:E12)/$E$13</f>
        <v>1.6</v>
      </c>
      <c r="AV6" s="126">
        <v>1</v>
      </c>
      <c r="AW6" s="248">
        <f>+SUMPRODUCT(AV6:AV12,E6:E12)/$E$13</f>
        <v>1</v>
      </c>
      <c r="AX6" s="39">
        <f aca="true" t="shared" si="5" ref="AX6:AX13">+(AT6+0.25*C6/E6)/($AU$6+0.25*SUM($C$6:$C$12)/SUM($E$6:$E$12)*(AV6/$AW$6))</f>
        <v>0.9214507016584654</v>
      </c>
      <c r="AY6" s="48">
        <v>77.33</v>
      </c>
      <c r="AZ6" s="8">
        <v>91.8</v>
      </c>
      <c r="BA6" s="168">
        <v>5.26</v>
      </c>
      <c r="BB6" s="8">
        <v>9.5</v>
      </c>
      <c r="BC6" s="40">
        <f>+(AY6+BA6)/(AZ6+BB6)</f>
        <v>0.8153010858835144</v>
      </c>
      <c r="BD6" s="94">
        <v>1.5</v>
      </c>
      <c r="BE6" s="126">
        <v>0</v>
      </c>
      <c r="BF6" s="30">
        <v>0</v>
      </c>
      <c r="BG6" s="20">
        <f>E6</f>
        <v>3949</v>
      </c>
      <c r="BH6" s="20">
        <f>+(1+BE6*BF6/BG6)/(1+BD6*SUM($BF$6:$BF$12)/SUM($BG$6:$BG$12))</f>
        <v>1</v>
      </c>
      <c r="BI6" s="67">
        <f>+AP6*BW6+AQ6*BH6+AR6*BX6</f>
        <v>0.9193283718601861</v>
      </c>
      <c r="BJ6" s="66">
        <v>0.5499</v>
      </c>
      <c r="BK6" s="47">
        <v>0.2561</v>
      </c>
      <c r="BL6" s="46">
        <v>0.194</v>
      </c>
      <c r="BM6" s="31">
        <f>+IF(AND(BJ6&gt;0,BK6&gt;0,BL6&gt;0,BJ6+BK6+BL6=1),1,НЕВЕРНО)</f>
        <v>1</v>
      </c>
      <c r="BN6" s="32">
        <v>7</v>
      </c>
      <c r="BO6" s="41">
        <f>0.2*SUM($E$6:$E$12)/BN6/E6+0.8</f>
        <v>0.8628730600875448</v>
      </c>
      <c r="BP6" s="42">
        <f aca="true" t="shared" si="6" ref="BP6:BP12">+(1+D6/E6)/(1+SUM($D$6:$D$12)/SUM($E$6:$E$12))</f>
        <v>1.3751087902523933</v>
      </c>
      <c r="BQ6" s="32">
        <v>0</v>
      </c>
      <c r="BR6" s="43">
        <f>(1+BQ6/BG6)/(1+SUM($BQ$6:$BQ$12)/SUM($BG$6:$BG$12))</f>
        <v>0.9276259607173356</v>
      </c>
      <c r="BS6" s="44">
        <f>+BJ6*BO6+BK6*BP6+BL6*BR6</f>
        <v>1.006618693304942</v>
      </c>
      <c r="BT6" s="29">
        <f>+BI6*BS6*SUM($E$6:$E$12)/SUMPRODUCT($BI$6:$BI$12,$BS$6:$BS$12,$E$6:$E$12)</f>
        <v>1.046387469841839</v>
      </c>
      <c r="BU6" s="250">
        <f>L6+S6+Z6+AG6</f>
        <v>12524.8</v>
      </c>
      <c r="BV6" s="71">
        <v>1</v>
      </c>
      <c r="BW6" s="176">
        <f>AX6/BV6</f>
        <v>0.9214507016584654</v>
      </c>
      <c r="BX6" s="176">
        <f>BC6/BV6</f>
        <v>0.8153010858835144</v>
      </c>
    </row>
    <row r="7" spans="1:76" ht="12.75">
      <c r="A7" s="5">
        <v>2</v>
      </c>
      <c r="B7" s="18" t="s">
        <v>9</v>
      </c>
      <c r="C7" s="10">
        <v>525</v>
      </c>
      <c r="D7" s="11"/>
      <c r="E7" s="192">
        <v>525</v>
      </c>
      <c r="F7" s="35">
        <f aca="true" t="shared" si="7" ref="F7:G13">IF(J$13&lt;0,(-J7/J$13)*($L$6/$E$13),((J7/J$13)*($L$6/$E$13)))</f>
        <v>0.40136586121879364</v>
      </c>
      <c r="G7" s="35">
        <f t="shared" si="7"/>
        <v>0.09395726974150005</v>
      </c>
      <c r="H7" s="7">
        <v>2015</v>
      </c>
      <c r="I7" s="7">
        <v>1916</v>
      </c>
      <c r="J7" s="36">
        <f aca="true" t="shared" si="8" ref="J7:J12">(H7*0.4+I7*0.6)/E7</f>
        <v>3.724952380952381</v>
      </c>
      <c r="K7" s="221">
        <v>2.03047619</v>
      </c>
      <c r="L7" s="267"/>
      <c r="M7" s="35">
        <f t="shared" si="0"/>
        <v>0.10268229684085038</v>
      </c>
      <c r="N7" s="35">
        <f t="shared" si="0"/>
        <v>0.007092179214883986</v>
      </c>
      <c r="O7" s="7">
        <v>150</v>
      </c>
      <c r="P7" s="7">
        <v>70</v>
      </c>
      <c r="Q7" s="36">
        <f t="shared" si="1"/>
        <v>0.19428571428571428</v>
      </c>
      <c r="R7" s="221">
        <v>0.65333333</v>
      </c>
      <c r="S7" s="269"/>
      <c r="T7" s="35">
        <f t="shared" si="2"/>
        <v>0.00792056396579142</v>
      </c>
      <c r="U7" s="35">
        <f t="shared" si="2"/>
        <v>0</v>
      </c>
      <c r="V7" s="7">
        <v>19</v>
      </c>
      <c r="W7" s="7">
        <v>-6</v>
      </c>
      <c r="X7" s="37">
        <f aca="true" t="shared" si="9" ref="X7:X13">(V7*0.4+W7*0.6)/E7</f>
        <v>0.007619047619047621</v>
      </c>
      <c r="Y7" s="225">
        <v>0</v>
      </c>
      <c r="Z7" s="271"/>
      <c r="AA7" s="35">
        <f t="shared" si="3"/>
        <v>1.3011964194610637</v>
      </c>
      <c r="AB7" s="35">
        <f t="shared" si="3"/>
        <v>0.09929117758921875</v>
      </c>
      <c r="AC7" s="7">
        <v>558</v>
      </c>
      <c r="AD7" s="7">
        <v>602</v>
      </c>
      <c r="AE7" s="37">
        <f t="shared" si="4"/>
        <v>1.113142857142857</v>
      </c>
      <c r="AF7" s="221">
        <v>0.31428571</v>
      </c>
      <c r="AG7" s="271"/>
      <c r="AH7" s="38">
        <f aca="true" t="shared" si="10" ref="AH7:AH12">F7+M7+T7+AA7</f>
        <v>1.813165141486499</v>
      </c>
      <c r="AI7" s="272"/>
      <c r="AJ7" s="37">
        <f aca="true" t="shared" si="11" ref="AJ7:AJ12">G7+N7+U7+AB7</f>
        <v>0.2003406265456028</v>
      </c>
      <c r="AK7" s="73">
        <v>0.8</v>
      </c>
      <c r="AL7" s="213">
        <v>0</v>
      </c>
      <c r="AM7" s="216">
        <f aca="true" t="shared" si="12" ref="AM7:AM12">IF(AL7=0,AK7,AK7*AL7)</f>
        <v>0.8</v>
      </c>
      <c r="AN7" s="19">
        <f aca="true" t="shared" si="13" ref="AN7:AN13">+(AH7/$AI$6)+((AJ7-AH7)/$AI$6)*0.25*AM7</f>
        <v>1.0342134064057231</v>
      </c>
      <c r="AO7" s="24">
        <f aca="true" t="shared" si="14" ref="AO7:AO12">AN7/BT7</f>
        <v>1.0039889386505716</v>
      </c>
      <c r="AP7" s="76">
        <v>0.4902</v>
      </c>
      <c r="AQ7" s="77">
        <v>0.2815</v>
      </c>
      <c r="AR7" s="78">
        <v>0.2283</v>
      </c>
      <c r="AS7" s="25">
        <f aca="true" t="shared" si="15" ref="AS7:AS12">+IF(AND(AP7&gt;0,AQ7&gt;0,AR7&gt;0,AP7+AQ7+AR7=1),1,НЕВЕРНО)</f>
        <v>1</v>
      </c>
      <c r="AT7" s="26">
        <v>1.6</v>
      </c>
      <c r="AU7" s="248"/>
      <c r="AV7" s="127">
        <v>1</v>
      </c>
      <c r="AW7" s="248"/>
      <c r="AX7" s="39">
        <f t="shared" si="5"/>
        <v>1.0654273737926006</v>
      </c>
      <c r="AY7" s="49">
        <v>23.67</v>
      </c>
      <c r="AZ7" s="8">
        <v>91.8</v>
      </c>
      <c r="BA7" s="169">
        <v>0</v>
      </c>
      <c r="BB7" s="8">
        <v>9.5</v>
      </c>
      <c r="BC7" s="40">
        <f aca="true" t="shared" si="16" ref="BC7:BC12">+(AY7+BA7)/(AZ7+BB7)</f>
        <v>0.2336623889437315</v>
      </c>
      <c r="BD7" s="95">
        <v>1.5</v>
      </c>
      <c r="BE7" s="127">
        <v>0</v>
      </c>
      <c r="BF7" s="23">
        <v>0</v>
      </c>
      <c r="BG7" s="20">
        <f aca="true" t="shared" si="17" ref="BG7:BG12">E7</f>
        <v>525</v>
      </c>
      <c r="BH7" s="20">
        <f aca="true" t="shared" si="18" ref="BH7:BH12">+(1+BE7*BF7/BG7)/(1+BD7*SUM($BF$6:$BF$12)/SUM($BG$6:$BG$12))</f>
        <v>1</v>
      </c>
      <c r="BI7" s="67">
        <f aca="true" t="shared" si="19" ref="BI7:BI12">+AP7*BW7+AQ7*BH7+AR7*BX7</f>
        <v>0.8571176220289868</v>
      </c>
      <c r="BJ7" s="66">
        <v>0.5499</v>
      </c>
      <c r="BK7" s="47">
        <v>0.2561</v>
      </c>
      <c r="BL7" s="46">
        <v>0.194</v>
      </c>
      <c r="BM7" s="27">
        <f aca="true" t="shared" si="20" ref="BM7:BM12">+IF(AND(BJ7&gt;0,BK7&gt;0,BL7&gt;0,BJ7+BK7+BL7=1),1,НЕВЕРНО)</f>
        <v>1</v>
      </c>
      <c r="BN7" s="28">
        <v>7</v>
      </c>
      <c r="BO7" s="41">
        <f aca="true" t="shared" si="21" ref="BO7:BO12">0.2*SUM($E$6:$E$12)/BN7/E7+0.8</f>
        <v>1.2729251700680273</v>
      </c>
      <c r="BP7" s="42">
        <f t="shared" si="6"/>
        <v>0.6875543951261966</v>
      </c>
      <c r="BQ7" s="28">
        <v>20</v>
      </c>
      <c r="BR7" s="43">
        <f aca="true" t="shared" si="22" ref="BR7:BR12">(1+BQ7/BG7)/(1+SUM($BQ$6:$BQ$12)/SUM($BG$6:$BG$12))</f>
        <v>0.9629640925541866</v>
      </c>
      <c r="BS7" s="45">
        <f aca="true" t="shared" si="23" ref="BS7:BS12">+BJ7*BO7+BK7*BP7+BL7*BR7</f>
        <v>1.0628792655677395</v>
      </c>
      <c r="BT7" s="29">
        <f aca="true" t="shared" si="24" ref="BT7:BT12">+BI7*BS7*SUM($E$6:$E$12)/SUMPRODUCT($BI$6:$BI$12,$BS$6:$BS$12,$E$6:$E$12)</f>
        <v>1.0301043832173842</v>
      </c>
      <c r="BU7" s="250"/>
      <c r="BV7" s="71">
        <v>1</v>
      </c>
      <c r="BW7" s="176">
        <f aca="true" t="shared" si="25" ref="BW7:BW12">AX7/BV7</f>
        <v>1.0654273737926006</v>
      </c>
      <c r="BX7" s="176">
        <f aca="true" t="shared" si="26" ref="BX7:BX12">BC7/BV7</f>
        <v>0.2336623889437315</v>
      </c>
    </row>
    <row r="8" spans="1:76" ht="12.75">
      <c r="A8" s="5">
        <v>3</v>
      </c>
      <c r="B8" s="18" t="s">
        <v>10</v>
      </c>
      <c r="C8" s="10">
        <v>937</v>
      </c>
      <c r="D8" s="11"/>
      <c r="E8" s="192">
        <v>937</v>
      </c>
      <c r="F8" s="35">
        <f t="shared" si="7"/>
        <v>0.29268605340391735</v>
      </c>
      <c r="G8" s="35">
        <f t="shared" si="7"/>
        <v>0.0663731093902628</v>
      </c>
      <c r="H8" s="7">
        <v>2583</v>
      </c>
      <c r="I8" s="7">
        <v>2520</v>
      </c>
      <c r="J8" s="36">
        <f t="shared" si="8"/>
        <v>2.7163287086446104</v>
      </c>
      <c r="K8" s="221">
        <v>1.43436499</v>
      </c>
      <c r="L8" s="267"/>
      <c r="M8" s="35">
        <f t="shared" si="0"/>
        <v>0</v>
      </c>
      <c r="N8" s="35">
        <f t="shared" si="0"/>
        <v>0</v>
      </c>
      <c r="O8" s="7">
        <v>0</v>
      </c>
      <c r="P8" s="7">
        <v>0</v>
      </c>
      <c r="Q8" s="36">
        <f t="shared" si="1"/>
        <v>0</v>
      </c>
      <c r="R8" s="221">
        <v>0</v>
      </c>
      <c r="S8" s="269"/>
      <c r="T8" s="35">
        <f t="shared" si="2"/>
        <v>0.06923096998914804</v>
      </c>
      <c r="U8" s="35">
        <f t="shared" si="2"/>
        <v>0</v>
      </c>
      <c r="V8" s="7">
        <v>66</v>
      </c>
      <c r="W8" s="7">
        <v>60</v>
      </c>
      <c r="X8" s="37">
        <f t="shared" si="9"/>
        <v>0.06659551760939168</v>
      </c>
      <c r="Y8" s="225">
        <v>0</v>
      </c>
      <c r="Z8" s="271"/>
      <c r="AA8" s="35">
        <f t="shared" si="3"/>
        <v>0.39671578842327515</v>
      </c>
      <c r="AB8" s="35">
        <f t="shared" si="3"/>
        <v>0.07316547001229913</v>
      </c>
      <c r="AC8" s="7">
        <v>225</v>
      </c>
      <c r="AD8" s="7">
        <v>380</v>
      </c>
      <c r="AE8" s="37">
        <f t="shared" si="4"/>
        <v>0.33938100320170755</v>
      </c>
      <c r="AF8" s="221">
        <v>0.23159018</v>
      </c>
      <c r="AG8" s="271"/>
      <c r="AH8" s="38">
        <f t="shared" si="10"/>
        <v>0.7586328118163406</v>
      </c>
      <c r="AI8" s="272"/>
      <c r="AJ8" s="37">
        <f t="shared" si="11"/>
        <v>0.13953857940256192</v>
      </c>
      <c r="AK8" s="73">
        <v>0.8</v>
      </c>
      <c r="AL8" s="213">
        <v>1.87E-06</v>
      </c>
      <c r="AM8" s="216">
        <f>IF(AL8=0,AK8,AK8*AL8)</f>
        <v>1.4960000000000002E-06</v>
      </c>
      <c r="AN8" s="19">
        <f t="shared" si="13"/>
        <v>0.5263570773657542</v>
      </c>
      <c r="AO8" s="24">
        <f t="shared" si="14"/>
        <v>0.5698412018249172</v>
      </c>
      <c r="AP8" s="76">
        <v>0.4902</v>
      </c>
      <c r="AQ8" s="77">
        <v>0.2815</v>
      </c>
      <c r="AR8" s="78">
        <v>0.2283</v>
      </c>
      <c r="AS8" s="25">
        <f t="shared" si="15"/>
        <v>1</v>
      </c>
      <c r="AT8" s="26">
        <v>1.6</v>
      </c>
      <c r="AU8" s="248"/>
      <c r="AV8" s="127">
        <v>1</v>
      </c>
      <c r="AW8" s="248"/>
      <c r="AX8" s="39">
        <f t="shared" si="5"/>
        <v>1.0654273737926006</v>
      </c>
      <c r="AY8" s="49">
        <v>19.53</v>
      </c>
      <c r="AZ8" s="8">
        <v>91.8</v>
      </c>
      <c r="BA8" s="169">
        <v>0</v>
      </c>
      <c r="BB8" s="8">
        <v>9.5</v>
      </c>
      <c r="BC8" s="40">
        <f t="shared" si="16"/>
        <v>0.19279368213228038</v>
      </c>
      <c r="BD8" s="95">
        <v>1.5</v>
      </c>
      <c r="BE8" s="127">
        <v>0</v>
      </c>
      <c r="BF8" s="23">
        <v>0</v>
      </c>
      <c r="BG8" s="20">
        <f t="shared" si="17"/>
        <v>937</v>
      </c>
      <c r="BH8" s="20">
        <f t="shared" si="18"/>
        <v>1</v>
      </c>
      <c r="BI8" s="67">
        <f t="shared" si="19"/>
        <v>0.8477872962639325</v>
      </c>
      <c r="BJ8" s="66">
        <v>0.5499</v>
      </c>
      <c r="BK8" s="47">
        <v>0.2561</v>
      </c>
      <c r="BL8" s="46">
        <v>0.194</v>
      </c>
      <c r="BM8" s="27">
        <f t="shared" si="20"/>
        <v>1</v>
      </c>
      <c r="BN8" s="28">
        <v>7</v>
      </c>
      <c r="BO8" s="41">
        <f t="shared" si="21"/>
        <v>1.0649794175941456</v>
      </c>
      <c r="BP8" s="42">
        <f t="shared" si="6"/>
        <v>0.6875543951261966</v>
      </c>
      <c r="BQ8" s="28">
        <v>114</v>
      </c>
      <c r="BR8" s="43">
        <f t="shared" si="22"/>
        <v>1.040485469278463</v>
      </c>
      <c r="BS8" s="45">
        <f t="shared" si="23"/>
        <v>0.9635690433668616</v>
      </c>
      <c r="BT8" s="29">
        <f t="shared" si="24"/>
        <v>0.9236908031221593</v>
      </c>
      <c r="BU8" s="250"/>
      <c r="BV8" s="71">
        <v>1</v>
      </c>
      <c r="BW8" s="176">
        <f t="shared" si="25"/>
        <v>1.0654273737926006</v>
      </c>
      <c r="BX8" s="176">
        <f t="shared" si="26"/>
        <v>0.19279368213228038</v>
      </c>
    </row>
    <row r="9" spans="1:76" ht="12.75">
      <c r="A9" s="5">
        <v>4</v>
      </c>
      <c r="B9" s="18" t="s">
        <v>11</v>
      </c>
      <c r="C9" s="10">
        <v>919</v>
      </c>
      <c r="D9" s="11"/>
      <c r="E9" s="192">
        <v>919</v>
      </c>
      <c r="F9" s="35">
        <f t="shared" si="7"/>
        <v>0.25813245398840684</v>
      </c>
      <c r="G9" s="35">
        <f t="shared" si="7"/>
        <v>0.05684744078785673</v>
      </c>
      <c r="H9" s="7">
        <v>2120</v>
      </c>
      <c r="I9" s="7">
        <v>2256</v>
      </c>
      <c r="J9" s="36">
        <f t="shared" si="8"/>
        <v>2.3956474428726877</v>
      </c>
      <c r="K9" s="221">
        <v>1.22850925</v>
      </c>
      <c r="L9" s="267"/>
      <c r="M9" s="35">
        <f t="shared" si="0"/>
        <v>0.005635925849134559</v>
      </c>
      <c r="N9" s="35">
        <f t="shared" si="0"/>
        <v>0.00020080676922335107</v>
      </c>
      <c r="O9" s="7">
        <v>2</v>
      </c>
      <c r="P9" s="7">
        <v>15</v>
      </c>
      <c r="Q9" s="36">
        <f t="shared" si="1"/>
        <v>0.010663764961915127</v>
      </c>
      <c r="R9" s="221">
        <v>0.01849837</v>
      </c>
      <c r="S9" s="269"/>
      <c r="T9" s="35">
        <f t="shared" si="2"/>
        <v>0.061084871716590515</v>
      </c>
      <c r="U9" s="35">
        <f t="shared" si="2"/>
        <v>0</v>
      </c>
      <c r="V9" s="7">
        <v>60</v>
      </c>
      <c r="W9" s="7">
        <v>50</v>
      </c>
      <c r="X9" s="37">
        <f t="shared" si="9"/>
        <v>0.058759521218716</v>
      </c>
      <c r="Y9" s="225">
        <v>0</v>
      </c>
      <c r="Z9" s="271"/>
      <c r="AA9" s="35">
        <f t="shared" si="3"/>
        <v>0.3210449144994849</v>
      </c>
      <c r="AB9" s="35">
        <f t="shared" si="3"/>
        <v>0.04984694295602067</v>
      </c>
      <c r="AC9" s="7">
        <v>172</v>
      </c>
      <c r="AD9" s="7">
        <v>306</v>
      </c>
      <c r="AE9" s="37">
        <f t="shared" si="4"/>
        <v>0.2746463547334059</v>
      </c>
      <c r="AF9" s="221">
        <v>0.1577802</v>
      </c>
      <c r="AG9" s="271"/>
      <c r="AH9" s="38">
        <f t="shared" si="10"/>
        <v>0.6458981660536168</v>
      </c>
      <c r="AI9" s="272"/>
      <c r="AJ9" s="37">
        <f t="shared" si="11"/>
        <v>0.10689519051310076</v>
      </c>
      <c r="AK9" s="73">
        <v>0.8</v>
      </c>
      <c r="AL9" s="213">
        <v>0</v>
      </c>
      <c r="AM9" s="216">
        <f>IF(AL9=0,AK9,AK9*AL9)</f>
        <v>0.8</v>
      </c>
      <c r="AN9" s="19">
        <f t="shared" si="13"/>
        <v>0.3733447154059556</v>
      </c>
      <c r="AO9" s="24">
        <f t="shared" si="14"/>
        <v>0.39632492155784255</v>
      </c>
      <c r="AP9" s="76">
        <v>0.4902</v>
      </c>
      <c r="AQ9" s="77">
        <v>0.2815</v>
      </c>
      <c r="AR9" s="78">
        <v>0.2283</v>
      </c>
      <c r="AS9" s="25">
        <f t="shared" si="15"/>
        <v>1</v>
      </c>
      <c r="AT9" s="26">
        <v>1.6</v>
      </c>
      <c r="AU9" s="248"/>
      <c r="AV9" s="127">
        <v>1</v>
      </c>
      <c r="AW9" s="248"/>
      <c r="AX9" s="39">
        <f t="shared" si="5"/>
        <v>1.0654273737926006</v>
      </c>
      <c r="AY9" s="49">
        <v>19.22</v>
      </c>
      <c r="AZ9" s="8">
        <v>91.8</v>
      </c>
      <c r="BA9" s="169">
        <v>0</v>
      </c>
      <c r="BB9" s="8">
        <v>9.5</v>
      </c>
      <c r="BC9" s="40">
        <f t="shared" si="16"/>
        <v>0.1897334649555775</v>
      </c>
      <c r="BD9" s="95">
        <v>1.5</v>
      </c>
      <c r="BE9" s="127">
        <v>0</v>
      </c>
      <c r="BF9" s="23">
        <v>0</v>
      </c>
      <c r="BG9" s="20">
        <f t="shared" si="17"/>
        <v>919</v>
      </c>
      <c r="BH9" s="20">
        <f t="shared" si="18"/>
        <v>1</v>
      </c>
      <c r="BI9" s="67">
        <f t="shared" si="19"/>
        <v>0.8470886486824911</v>
      </c>
      <c r="BJ9" s="66">
        <v>0.5499</v>
      </c>
      <c r="BK9" s="47">
        <v>0.2561</v>
      </c>
      <c r="BL9" s="46">
        <v>0.194</v>
      </c>
      <c r="BM9" s="27">
        <f t="shared" si="20"/>
        <v>1</v>
      </c>
      <c r="BN9" s="28">
        <v>7</v>
      </c>
      <c r="BO9" s="41">
        <f t="shared" si="21"/>
        <v>1.0701694388310274</v>
      </c>
      <c r="BP9" s="42">
        <f t="shared" si="6"/>
        <v>0.6875543951261966</v>
      </c>
      <c r="BQ9" s="28">
        <v>199</v>
      </c>
      <c r="BR9" s="43">
        <f t="shared" si="22"/>
        <v>1.1284938238106432</v>
      </c>
      <c r="BS9" s="45">
        <f t="shared" si="23"/>
        <v>0.9834966568242658</v>
      </c>
      <c r="BT9" s="29">
        <f t="shared" si="24"/>
        <v>0.9420167521599243</v>
      </c>
      <c r="BU9" s="250"/>
      <c r="BV9" s="71">
        <v>1</v>
      </c>
      <c r="BW9" s="176">
        <f t="shared" si="25"/>
        <v>1.0654273737926006</v>
      </c>
      <c r="BX9" s="176">
        <f t="shared" si="26"/>
        <v>0.1897334649555775</v>
      </c>
    </row>
    <row r="10" spans="1:76" ht="12.75">
      <c r="A10" s="5">
        <v>5</v>
      </c>
      <c r="B10" s="18" t="s">
        <v>12</v>
      </c>
      <c r="C10" s="10">
        <v>989</v>
      </c>
      <c r="D10" s="11"/>
      <c r="E10" s="192">
        <v>989</v>
      </c>
      <c r="F10" s="35">
        <f t="shared" si="7"/>
        <v>0.2153704650160191</v>
      </c>
      <c r="G10" s="35">
        <f t="shared" si="7"/>
        <v>0.06073106350302544</v>
      </c>
      <c r="H10" s="7">
        <v>2080</v>
      </c>
      <c r="I10" s="7">
        <v>1908</v>
      </c>
      <c r="J10" s="36">
        <f t="shared" si="8"/>
        <v>1.9987866531850353</v>
      </c>
      <c r="K10" s="221">
        <v>1.3124368</v>
      </c>
      <c r="L10" s="267"/>
      <c r="M10" s="35">
        <f t="shared" si="0"/>
        <v>0</v>
      </c>
      <c r="N10" s="35">
        <f t="shared" si="0"/>
        <v>0</v>
      </c>
      <c r="O10" s="7">
        <v>0</v>
      </c>
      <c r="P10" s="7">
        <v>0</v>
      </c>
      <c r="Q10" s="36">
        <f t="shared" si="1"/>
        <v>0</v>
      </c>
      <c r="R10" s="221">
        <v>0</v>
      </c>
      <c r="S10" s="269"/>
      <c r="T10" s="35">
        <f t="shared" si="2"/>
        <v>0.015767047833823915</v>
      </c>
      <c r="U10" s="35">
        <f t="shared" si="2"/>
        <v>-0.008074272315578477</v>
      </c>
      <c r="V10" s="7">
        <v>12</v>
      </c>
      <c r="W10" s="7">
        <v>17</v>
      </c>
      <c r="X10" s="37">
        <f t="shared" si="9"/>
        <v>0.015166835187057633</v>
      </c>
      <c r="Y10" s="225">
        <v>-0.00101112</v>
      </c>
      <c r="Z10" s="271"/>
      <c r="AA10" s="35">
        <f t="shared" si="3"/>
        <v>0.1508156250924728</v>
      </c>
      <c r="AB10" s="35">
        <f t="shared" si="3"/>
        <v>0.024596904595760343</v>
      </c>
      <c r="AC10" s="7">
        <v>91</v>
      </c>
      <c r="AD10" s="7">
        <v>152</v>
      </c>
      <c r="AE10" s="37">
        <f t="shared" si="4"/>
        <v>0.12901921132457025</v>
      </c>
      <c r="AF10" s="221">
        <v>0.07785642</v>
      </c>
      <c r="AG10" s="271"/>
      <c r="AH10" s="38">
        <f t="shared" si="10"/>
        <v>0.3819531379423158</v>
      </c>
      <c r="AI10" s="272"/>
      <c r="AJ10" s="37">
        <f t="shared" si="11"/>
        <v>0.07725369578320732</v>
      </c>
      <c r="AK10" s="73">
        <v>0.8</v>
      </c>
      <c r="AL10" s="213">
        <v>5E-08</v>
      </c>
      <c r="AM10" s="216">
        <f>IF(AL10=0,AK10,AK10*AL10)</f>
        <v>4E-08</v>
      </c>
      <c r="AN10" s="19">
        <f t="shared" si="13"/>
        <v>0.26500804342108</v>
      </c>
      <c r="AO10" s="24">
        <f t="shared" si="14"/>
        <v>0.2885547105964492</v>
      </c>
      <c r="AP10" s="76">
        <v>0.4902</v>
      </c>
      <c r="AQ10" s="77">
        <v>0.2815</v>
      </c>
      <c r="AR10" s="78">
        <v>0.2283</v>
      </c>
      <c r="AS10" s="25">
        <f t="shared" si="15"/>
        <v>1</v>
      </c>
      <c r="AT10" s="26">
        <v>1.6</v>
      </c>
      <c r="AU10" s="248"/>
      <c r="AV10" s="127">
        <v>1</v>
      </c>
      <c r="AW10" s="248"/>
      <c r="AX10" s="39">
        <f t="shared" si="5"/>
        <v>1.0654273737926006</v>
      </c>
      <c r="AY10" s="49">
        <v>29.21</v>
      </c>
      <c r="AZ10" s="8">
        <v>91.8</v>
      </c>
      <c r="BA10" s="169">
        <v>0</v>
      </c>
      <c r="BB10" s="8">
        <v>9.5</v>
      </c>
      <c r="BC10" s="40">
        <f t="shared" si="16"/>
        <v>0.2883514313919052</v>
      </c>
      <c r="BD10" s="95">
        <v>1.5</v>
      </c>
      <c r="BE10" s="127">
        <v>0</v>
      </c>
      <c r="BF10" s="23">
        <v>0</v>
      </c>
      <c r="BG10" s="20">
        <f t="shared" si="17"/>
        <v>989</v>
      </c>
      <c r="BH10" s="20">
        <f t="shared" si="18"/>
        <v>1</v>
      </c>
      <c r="BI10" s="67">
        <f>+AP10*BW10+AQ10*BH10+AR10*BX10</f>
        <v>0.8696031304199048</v>
      </c>
      <c r="BJ10" s="66">
        <v>0.5499</v>
      </c>
      <c r="BK10" s="47">
        <v>0.2561</v>
      </c>
      <c r="BL10" s="46">
        <v>0.194</v>
      </c>
      <c r="BM10" s="27">
        <f t="shared" si="20"/>
        <v>1</v>
      </c>
      <c r="BN10" s="28">
        <v>7</v>
      </c>
      <c r="BO10" s="41">
        <f t="shared" si="21"/>
        <v>1.051047233858154</v>
      </c>
      <c r="BP10" s="42">
        <f t="shared" si="6"/>
        <v>0.6875543951261966</v>
      </c>
      <c r="BQ10" s="28">
        <v>0</v>
      </c>
      <c r="BR10" s="43">
        <f t="shared" si="22"/>
        <v>0.9276259607173356</v>
      </c>
      <c r="BS10" s="45">
        <f t="shared" si="23"/>
        <v>0.934012990869581</v>
      </c>
      <c r="BT10" s="29">
        <f t="shared" si="24"/>
        <v>0.9183979110003169</v>
      </c>
      <c r="BU10" s="250"/>
      <c r="BV10" s="71">
        <v>1</v>
      </c>
      <c r="BW10" s="176">
        <f t="shared" si="25"/>
        <v>1.0654273737926006</v>
      </c>
      <c r="BX10" s="176">
        <f t="shared" si="26"/>
        <v>0.2883514313919052</v>
      </c>
    </row>
    <row r="11" spans="1:76" ht="12.75">
      <c r="A11" s="5">
        <v>6</v>
      </c>
      <c r="B11" s="18" t="s">
        <v>13</v>
      </c>
      <c r="C11" s="10">
        <v>846</v>
      </c>
      <c r="D11" s="11"/>
      <c r="E11" s="192">
        <v>846</v>
      </c>
      <c r="F11" s="35">
        <f t="shared" si="7"/>
        <v>0.27192380038607394</v>
      </c>
      <c r="G11" s="35">
        <f t="shared" si="7"/>
        <v>0.06962905918046394</v>
      </c>
      <c r="H11" s="7">
        <v>2291</v>
      </c>
      <c r="I11" s="7">
        <v>2031</v>
      </c>
      <c r="J11" s="36">
        <f t="shared" si="8"/>
        <v>2.523640661938534</v>
      </c>
      <c r="K11" s="221">
        <v>1.50472813</v>
      </c>
      <c r="L11" s="267"/>
      <c r="M11" s="35">
        <f t="shared" si="0"/>
        <v>0.019491216129573188</v>
      </c>
      <c r="N11" s="35">
        <f t="shared" si="0"/>
        <v>0.0014499498039774858</v>
      </c>
      <c r="O11" s="7">
        <v>78</v>
      </c>
      <c r="P11" s="7">
        <v>0</v>
      </c>
      <c r="Q11" s="36">
        <f t="shared" si="1"/>
        <v>0.03687943262411348</v>
      </c>
      <c r="R11" s="221">
        <v>0.13356974</v>
      </c>
      <c r="S11" s="269"/>
      <c r="T11" s="35">
        <f t="shared" si="2"/>
        <v>0.03612704042907522</v>
      </c>
      <c r="U11" s="35">
        <f t="shared" si="2"/>
        <v>0</v>
      </c>
      <c r="V11" s="7">
        <v>30</v>
      </c>
      <c r="W11" s="7">
        <v>29</v>
      </c>
      <c r="X11" s="37">
        <f t="shared" si="9"/>
        <v>0.03475177304964539</v>
      </c>
      <c r="Y11" s="225">
        <v>0</v>
      </c>
      <c r="Z11" s="271"/>
      <c r="AA11" s="35">
        <f t="shared" si="3"/>
        <v>0.5452286563286329</v>
      </c>
      <c r="AB11" s="35">
        <f t="shared" si="3"/>
        <v>0.07356680405494041</v>
      </c>
      <c r="AC11" s="7">
        <v>382</v>
      </c>
      <c r="AD11" s="7">
        <v>403</v>
      </c>
      <c r="AE11" s="37">
        <f t="shared" si="4"/>
        <v>0.46643026004728133</v>
      </c>
      <c r="AF11" s="221">
        <v>0.23286052</v>
      </c>
      <c r="AG11" s="271"/>
      <c r="AH11" s="38">
        <f t="shared" si="10"/>
        <v>0.8727707132733553</v>
      </c>
      <c r="AI11" s="272"/>
      <c r="AJ11" s="37">
        <f t="shared" si="11"/>
        <v>0.14464581303938184</v>
      </c>
      <c r="AK11" s="73">
        <v>0.8</v>
      </c>
      <c r="AL11" s="213">
        <v>7.7E-07</v>
      </c>
      <c r="AM11" s="216">
        <f t="shared" si="12"/>
        <v>6.160000000000001E-07</v>
      </c>
      <c r="AN11" s="19">
        <f t="shared" si="13"/>
        <v>0.6055487132668808</v>
      </c>
      <c r="AO11" s="24">
        <f t="shared" si="14"/>
        <v>0.6024142027711321</v>
      </c>
      <c r="AP11" s="76">
        <v>0.4902</v>
      </c>
      <c r="AQ11" s="77">
        <v>0.2815</v>
      </c>
      <c r="AR11" s="78">
        <v>0.2283</v>
      </c>
      <c r="AS11" s="25">
        <f t="shared" si="15"/>
        <v>1</v>
      </c>
      <c r="AT11" s="26">
        <v>1.6</v>
      </c>
      <c r="AU11" s="248"/>
      <c r="AV11" s="127">
        <v>1</v>
      </c>
      <c r="AW11" s="248"/>
      <c r="AX11" s="39">
        <f t="shared" si="5"/>
        <v>1.0654273737926006</v>
      </c>
      <c r="AY11" s="49">
        <v>26.05</v>
      </c>
      <c r="AZ11" s="8">
        <v>91.8</v>
      </c>
      <c r="BA11" s="169">
        <v>0</v>
      </c>
      <c r="BB11" s="8">
        <v>9.5</v>
      </c>
      <c r="BC11" s="40">
        <f t="shared" si="16"/>
        <v>0.2571569595261599</v>
      </c>
      <c r="BD11" s="95">
        <v>1.5</v>
      </c>
      <c r="BE11" s="127">
        <v>0</v>
      </c>
      <c r="BF11" s="23">
        <v>0</v>
      </c>
      <c r="BG11" s="20">
        <f t="shared" si="17"/>
        <v>846</v>
      </c>
      <c r="BH11" s="20">
        <f t="shared" si="18"/>
        <v>1</v>
      </c>
      <c r="BI11" s="67">
        <f t="shared" si="19"/>
        <v>0.8624814324929552</v>
      </c>
      <c r="BJ11" s="66">
        <v>0.5499</v>
      </c>
      <c r="BK11" s="47">
        <v>0.2561</v>
      </c>
      <c r="BL11" s="46">
        <v>0.194</v>
      </c>
      <c r="BM11" s="27">
        <f t="shared" si="20"/>
        <v>1</v>
      </c>
      <c r="BN11" s="28">
        <v>7</v>
      </c>
      <c r="BO11" s="41">
        <f t="shared" si="21"/>
        <v>1.0934819317798041</v>
      </c>
      <c r="BP11" s="42">
        <f t="shared" si="6"/>
        <v>0.6875543951261966</v>
      </c>
      <c r="BQ11" s="28">
        <v>345</v>
      </c>
      <c r="BR11" s="43">
        <f t="shared" si="22"/>
        <v>1.3059131432793696</v>
      </c>
      <c r="BS11" s="45">
        <f t="shared" si="23"/>
        <v>1.030735544673731</v>
      </c>
      <c r="BT11" s="29">
        <f t="shared" si="24"/>
        <v>1.0052032480000135</v>
      </c>
      <c r="BU11" s="250"/>
      <c r="BV11" s="71">
        <v>1</v>
      </c>
      <c r="BW11" s="176">
        <f t="shared" si="25"/>
        <v>1.0654273737926006</v>
      </c>
      <c r="BX11" s="176">
        <f t="shared" si="26"/>
        <v>0.2571569595261599</v>
      </c>
    </row>
    <row r="12" spans="1:76" ht="13.5" thickBot="1">
      <c r="A12" s="5">
        <v>7</v>
      </c>
      <c r="B12" s="18" t="s">
        <v>14</v>
      </c>
      <c r="C12" s="10">
        <v>525</v>
      </c>
      <c r="D12" s="11"/>
      <c r="E12" s="192">
        <v>525</v>
      </c>
      <c r="F12" s="86">
        <f t="shared" si="7"/>
        <v>0.3367155000590882</v>
      </c>
      <c r="G12" s="35">
        <f t="shared" si="7"/>
        <v>0.06337268009706475</v>
      </c>
      <c r="H12" s="7">
        <v>1709</v>
      </c>
      <c r="I12" s="7">
        <v>1595</v>
      </c>
      <c r="J12" s="36">
        <f t="shared" si="8"/>
        <v>3.1249523809523807</v>
      </c>
      <c r="K12" s="221">
        <v>1.36952381</v>
      </c>
      <c r="L12" s="267"/>
      <c r="M12" s="86">
        <f t="shared" si="0"/>
        <v>0</v>
      </c>
      <c r="N12" s="86">
        <f t="shared" si="0"/>
        <v>0</v>
      </c>
      <c r="O12" s="7">
        <v>0</v>
      </c>
      <c r="P12" s="7">
        <v>0</v>
      </c>
      <c r="Q12" s="36">
        <f t="shared" si="1"/>
        <v>0</v>
      </c>
      <c r="R12" s="223">
        <v>0</v>
      </c>
      <c r="S12" s="269"/>
      <c r="T12" s="86">
        <f t="shared" si="2"/>
        <v>0.05782011695027736</v>
      </c>
      <c r="U12" s="86">
        <f t="shared" si="2"/>
        <v>0</v>
      </c>
      <c r="V12" s="7">
        <v>34</v>
      </c>
      <c r="W12" s="7">
        <v>26</v>
      </c>
      <c r="X12" s="37">
        <f t="shared" si="9"/>
        <v>0.055619047619047624</v>
      </c>
      <c r="Y12" s="225">
        <v>0</v>
      </c>
      <c r="Z12" s="271"/>
      <c r="AA12" s="86">
        <f t="shared" si="3"/>
        <v>0.48048971136156327</v>
      </c>
      <c r="AB12" s="86">
        <f t="shared" si="3"/>
        <v>0.10470706097967616</v>
      </c>
      <c r="AC12" s="7">
        <v>181</v>
      </c>
      <c r="AD12" s="7">
        <v>239</v>
      </c>
      <c r="AE12" s="37">
        <f t="shared" si="4"/>
        <v>0.41104761904761905</v>
      </c>
      <c r="AF12" s="223">
        <v>0.33142857</v>
      </c>
      <c r="AG12" s="271"/>
      <c r="AH12" s="38">
        <f t="shared" si="10"/>
        <v>0.8750253283709288</v>
      </c>
      <c r="AI12" s="272"/>
      <c r="AJ12" s="37">
        <f t="shared" si="11"/>
        <v>0.1680797410767409</v>
      </c>
      <c r="AK12" s="73">
        <v>0.8</v>
      </c>
      <c r="AL12" s="213">
        <v>7E-08</v>
      </c>
      <c r="AM12" s="216">
        <f t="shared" si="12"/>
        <v>5.6000000000000005E-08</v>
      </c>
      <c r="AN12" s="19">
        <f t="shared" si="13"/>
        <v>0.6071130890342658</v>
      </c>
      <c r="AO12" s="147">
        <f t="shared" si="14"/>
        <v>0.6046921081682836</v>
      </c>
      <c r="AP12" s="76">
        <v>0.4902</v>
      </c>
      <c r="AQ12" s="77">
        <v>0.2815</v>
      </c>
      <c r="AR12" s="78">
        <v>0.2283</v>
      </c>
      <c r="AS12" s="150">
        <f t="shared" si="15"/>
        <v>1</v>
      </c>
      <c r="AT12" s="107">
        <v>1.6</v>
      </c>
      <c r="AU12" s="248"/>
      <c r="AV12" s="127">
        <v>1</v>
      </c>
      <c r="AW12" s="248"/>
      <c r="AX12" s="39">
        <f t="shared" si="5"/>
        <v>1.0654273737926006</v>
      </c>
      <c r="AY12" s="49">
        <v>16.44</v>
      </c>
      <c r="AZ12" s="8">
        <v>91.8</v>
      </c>
      <c r="BA12" s="169">
        <v>0</v>
      </c>
      <c r="BB12" s="8">
        <v>9.5</v>
      </c>
      <c r="BC12" s="40">
        <f t="shared" si="16"/>
        <v>0.1622902270483712</v>
      </c>
      <c r="BD12" s="95">
        <v>1.5</v>
      </c>
      <c r="BE12" s="127">
        <v>0</v>
      </c>
      <c r="BF12" s="23">
        <v>0</v>
      </c>
      <c r="BG12" s="20">
        <f t="shared" si="17"/>
        <v>525</v>
      </c>
      <c r="BH12" s="69">
        <f t="shared" si="18"/>
        <v>1</v>
      </c>
      <c r="BI12" s="67">
        <f t="shared" si="19"/>
        <v>0.840823357468276</v>
      </c>
      <c r="BJ12" s="66">
        <v>0.5499</v>
      </c>
      <c r="BK12" s="47">
        <v>0.2561</v>
      </c>
      <c r="BL12" s="46">
        <v>0.194</v>
      </c>
      <c r="BM12" s="27">
        <f t="shared" si="20"/>
        <v>1</v>
      </c>
      <c r="BN12" s="70">
        <v>7</v>
      </c>
      <c r="BO12" s="41">
        <f t="shared" si="21"/>
        <v>1.2729251700680273</v>
      </c>
      <c r="BP12" s="42">
        <f t="shared" si="6"/>
        <v>0.6875543951261966</v>
      </c>
      <c r="BQ12" s="28">
        <v>0</v>
      </c>
      <c r="BR12" s="43">
        <f t="shared" si="22"/>
        <v>0.9276259607173356</v>
      </c>
      <c r="BS12" s="45">
        <f t="shared" si="23"/>
        <v>1.0560236679913904</v>
      </c>
      <c r="BT12" s="29">
        <f t="shared" si="24"/>
        <v>1.0040036587765562</v>
      </c>
      <c r="BU12" s="250"/>
      <c r="BV12" s="71">
        <v>1</v>
      </c>
      <c r="BW12" s="176">
        <f t="shared" si="25"/>
        <v>1.0654273737926006</v>
      </c>
      <c r="BX12" s="176">
        <f t="shared" si="26"/>
        <v>0.1622902270483712</v>
      </c>
    </row>
    <row r="13" spans="1:76" ht="13.5" thickBot="1">
      <c r="A13" s="12"/>
      <c r="B13" s="14"/>
      <c r="C13" s="12">
        <f>SUM(C7:C12)</f>
        <v>4741</v>
      </c>
      <c r="D13" s="13">
        <f>SUM(D6:D12)</f>
        <v>3949</v>
      </c>
      <c r="E13" s="16">
        <f>SUM(E6:E12)</f>
        <v>8690</v>
      </c>
      <c r="F13" s="75">
        <f t="shared" si="7"/>
        <v>0.670506329113924</v>
      </c>
      <c r="G13" s="93">
        <f t="shared" si="7"/>
        <v>0.670506329113924</v>
      </c>
      <c r="H13" s="15">
        <f>SUM(H6:H12)</f>
        <v>52265</v>
      </c>
      <c r="I13" s="13">
        <f>SUM(I6:I12)</f>
        <v>55283</v>
      </c>
      <c r="J13" s="90">
        <f>(H13*0.4+I13*0.6)/E13</f>
        <v>6.222761795166858</v>
      </c>
      <c r="K13" s="222">
        <f>SUM(K6:K12)</f>
        <v>14.49006703</v>
      </c>
      <c r="L13" s="268"/>
      <c r="M13" s="91">
        <f t="shared" si="0"/>
        <v>0.008745684695051784</v>
      </c>
      <c r="N13" s="92">
        <f t="shared" si="0"/>
        <v>0.008745684695051784</v>
      </c>
      <c r="O13" s="15">
        <f>SUM(O6:O12)</f>
        <v>232</v>
      </c>
      <c r="P13" s="13">
        <f>SUM(P6:P12)</f>
        <v>85</v>
      </c>
      <c r="Q13" s="87">
        <f t="shared" si="1"/>
        <v>0.016547756041426928</v>
      </c>
      <c r="R13" s="224">
        <f>SUM(R6:R12)</f>
        <v>0.80565467</v>
      </c>
      <c r="S13" s="270"/>
      <c r="T13" s="75">
        <f t="shared" si="2"/>
        <v>0.18197928653624856</v>
      </c>
      <c r="U13" s="93">
        <f t="shared" si="2"/>
        <v>-0.18197928653624856</v>
      </c>
      <c r="V13" s="15">
        <f>SUM(V6:V12)</f>
        <v>1718</v>
      </c>
      <c r="W13" s="13">
        <f>SUM(W6:W12)</f>
        <v>1390</v>
      </c>
      <c r="X13" s="87">
        <f t="shared" si="9"/>
        <v>0.1750517836593786</v>
      </c>
      <c r="Y13" s="226">
        <f>SUM(Y6:Y12)</f>
        <v>-0.02278879</v>
      </c>
      <c r="Z13" s="268"/>
      <c r="AA13" s="91">
        <f>IF(AE$13&lt;0,(-AE13/AE$13)*($AG$6/$E$13),((AE13/AE$13)*($AG$6/$E$13)))</f>
        <v>0.5800575373993095</v>
      </c>
      <c r="AB13" s="92">
        <f t="shared" si="3"/>
        <v>0.5800575373993095</v>
      </c>
      <c r="AC13" s="15">
        <f>SUM(AC6:AC12)</f>
        <v>3327</v>
      </c>
      <c r="AD13" s="13">
        <f>SUM(AD6:AD12)</f>
        <v>4969</v>
      </c>
      <c r="AE13" s="87">
        <f t="shared" si="4"/>
        <v>0.4962255466052935</v>
      </c>
      <c r="AF13" s="224">
        <f>SUM(AF6:AF12)</f>
        <v>1.8360523</v>
      </c>
      <c r="AG13" s="268"/>
      <c r="AH13" s="74">
        <f>F13+M13+T13+AA13</f>
        <v>1.4412888377445339</v>
      </c>
      <c r="AI13" s="273"/>
      <c r="AJ13" s="37">
        <f>G13+N13+U13+AB13</f>
        <v>1.0773302646720369</v>
      </c>
      <c r="AK13" s="15">
        <v>1</v>
      </c>
      <c r="AL13" s="214">
        <f>SUM(AL6:AL12)</f>
        <v>0.00078622</v>
      </c>
      <c r="AM13" s="117">
        <f>IF(AL13=0,AK13,AK13*AL13)</f>
        <v>0.00078622</v>
      </c>
      <c r="AN13" s="19">
        <f t="shared" si="13"/>
        <v>0.9999503653428398</v>
      </c>
      <c r="AO13" s="143"/>
      <c r="AP13" s="91"/>
      <c r="AQ13" s="148"/>
      <c r="AR13" s="149"/>
      <c r="AS13" s="151">
        <v>1</v>
      </c>
      <c r="AT13" s="108">
        <v>1.6</v>
      </c>
      <c r="AU13" s="274"/>
      <c r="AV13" s="22">
        <v>1</v>
      </c>
      <c r="AW13" s="249"/>
      <c r="AX13" s="92">
        <f t="shared" si="5"/>
        <v>1</v>
      </c>
      <c r="AY13" s="118"/>
      <c r="AZ13" s="119"/>
      <c r="BA13" s="170"/>
      <c r="BB13" s="119"/>
      <c r="BC13" s="128"/>
      <c r="BD13" s="88">
        <v>1.5</v>
      </c>
      <c r="BE13" s="80">
        <v>0</v>
      </c>
      <c r="BF13" s="68">
        <v>0</v>
      </c>
      <c r="BG13" s="120">
        <f>+D13+C13</f>
        <v>8690</v>
      </c>
      <c r="BH13" s="121">
        <f>+(1+BE13*BF13/BG13)/(1+BD13*SUM($BF$6:$BF$12)/SUM($BG$6:$BG$12))</f>
        <v>1</v>
      </c>
      <c r="BI13" s="122"/>
      <c r="BJ13" s="144"/>
      <c r="BK13" s="145"/>
      <c r="BL13" s="146"/>
      <c r="BM13" s="152"/>
      <c r="BN13" s="123">
        <v>7</v>
      </c>
      <c r="BO13" s="124"/>
      <c r="BP13" s="122"/>
      <c r="BQ13" s="125">
        <f>SUM(BQ6:BQ12)</f>
        <v>678</v>
      </c>
      <c r="BR13" s="143"/>
      <c r="BS13" s="92"/>
      <c r="BT13" s="93"/>
      <c r="BU13" s="251"/>
      <c r="BV13" s="175"/>
      <c r="BW13" s="176"/>
      <c r="BX13" s="175"/>
    </row>
    <row r="14" spans="1:76" ht="12.75">
      <c r="A14" s="33"/>
      <c r="B14" s="33"/>
      <c r="C14" s="33"/>
      <c r="D14" s="33"/>
      <c r="E14" s="33"/>
      <c r="F14" s="102"/>
      <c r="G14" s="102"/>
      <c r="H14" s="33"/>
      <c r="I14" s="33"/>
      <c r="J14" s="102"/>
      <c r="K14" s="102"/>
      <c r="L14" s="9"/>
      <c r="M14" s="100"/>
      <c r="N14" s="100"/>
      <c r="O14" s="33"/>
      <c r="P14" s="33"/>
      <c r="Q14" s="102"/>
      <c r="R14" s="102"/>
      <c r="S14" s="9"/>
      <c r="T14" s="102"/>
      <c r="U14" s="102"/>
      <c r="V14" s="33"/>
      <c r="W14" s="33"/>
      <c r="X14" s="102"/>
      <c r="Y14" s="102"/>
      <c r="Z14" s="9"/>
      <c r="AA14" s="100"/>
      <c r="AB14" s="100"/>
      <c r="AC14" s="33"/>
      <c r="AD14" s="33"/>
      <c r="AE14" s="102"/>
      <c r="AF14" s="102"/>
      <c r="AG14" s="9"/>
      <c r="AH14" s="102"/>
      <c r="AI14" s="206"/>
      <c r="AJ14" s="100"/>
      <c r="AK14" s="33"/>
      <c r="AL14" s="102"/>
      <c r="AM14" s="103"/>
      <c r="AN14" s="102"/>
      <c r="AO14" s="100"/>
      <c r="AP14" s="100"/>
      <c r="AQ14" s="100"/>
      <c r="AR14" s="181"/>
      <c r="AS14" s="104"/>
      <c r="AT14" s="182"/>
      <c r="AU14" s="105"/>
      <c r="AV14" s="182"/>
      <c r="AW14" s="105"/>
      <c r="AX14" s="100"/>
      <c r="AY14" s="183"/>
      <c r="AZ14" s="183"/>
      <c r="BA14" s="183"/>
      <c r="BB14" s="183"/>
      <c r="BC14" s="100"/>
      <c r="BD14" s="104"/>
      <c r="BE14" s="9"/>
      <c r="BF14" s="9"/>
      <c r="BG14" s="9"/>
      <c r="BH14" s="9"/>
      <c r="BI14" s="101"/>
      <c r="BJ14" s="184"/>
      <c r="BK14" s="101"/>
      <c r="BL14" s="184"/>
      <c r="BM14" s="106"/>
      <c r="BN14" s="177"/>
      <c r="BO14" s="101"/>
      <c r="BP14" s="101"/>
      <c r="BQ14" s="177"/>
      <c r="BR14" s="100"/>
      <c r="BS14" s="100"/>
      <c r="BT14" s="102"/>
      <c r="BU14" s="207"/>
      <c r="BV14" s="34"/>
      <c r="BW14" s="34"/>
      <c r="BX14" s="34"/>
    </row>
    <row r="15" spans="1:76" ht="12.75">
      <c r="A15" s="211" t="s">
        <v>145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1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167"/>
      <c r="BA15" s="167"/>
      <c r="BB15" s="167"/>
      <c r="BC15" s="167"/>
      <c r="BD15" s="3"/>
      <c r="BE15" s="3"/>
      <c r="BF15" s="3"/>
      <c r="BG15" s="3"/>
      <c r="BH15" s="3"/>
      <c r="BI15" s="167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1"/>
      <c r="BU15" s="3"/>
      <c r="BV15" s="3"/>
      <c r="BW15" s="3"/>
      <c r="BX15" s="3"/>
    </row>
    <row r="16" spans="1:76" ht="12.75">
      <c r="A16" s="211" t="s">
        <v>146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1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167"/>
      <c r="BA16" s="167"/>
      <c r="BB16" s="167"/>
      <c r="BC16" s="167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1"/>
      <c r="BU16" s="3"/>
      <c r="BV16" s="3"/>
      <c r="BW16" s="3"/>
      <c r="BX16" s="3"/>
    </row>
    <row r="17" spans="1:7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1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1"/>
      <c r="BU17" s="3"/>
      <c r="BV17" s="3"/>
      <c r="BW17" s="3"/>
      <c r="BX17" s="3"/>
    </row>
    <row r="18" spans="1:7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1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1"/>
      <c r="BU18" s="3"/>
      <c r="BV18" s="3"/>
      <c r="BW18" s="3"/>
      <c r="BX18" s="3"/>
    </row>
    <row r="19" spans="1:76" ht="12.75">
      <c r="A19" s="3"/>
      <c r="B19" s="3"/>
      <c r="C19" s="1"/>
      <c r="D19" s="3"/>
      <c r="E19" s="3"/>
      <c r="F19" s="3"/>
      <c r="G19" s="3"/>
      <c r="H19" s="3"/>
      <c r="I19" s="3"/>
      <c r="J19" s="3"/>
      <c r="K19" s="89"/>
      <c r="L19" s="3" t="s">
        <v>72</v>
      </c>
      <c r="M19" s="3"/>
      <c r="N19" s="3"/>
      <c r="O19" s="3"/>
      <c r="P19" s="3"/>
      <c r="Q19" s="3"/>
      <c r="R19" s="89"/>
      <c r="S19" s="3"/>
      <c r="T19" s="3"/>
      <c r="U19" s="3"/>
      <c r="V19" s="3"/>
      <c r="W19" s="3"/>
      <c r="X19" s="3"/>
      <c r="Y19" s="89"/>
      <c r="Z19" s="3"/>
      <c r="AA19" s="3"/>
      <c r="AB19" s="3"/>
      <c r="AC19" s="3"/>
      <c r="AD19" s="3"/>
      <c r="AE19" s="3"/>
      <c r="AF19" s="89"/>
      <c r="AG19" s="3"/>
      <c r="AH19" s="3"/>
      <c r="AI19" s="3"/>
      <c r="AJ19" s="3"/>
      <c r="AK19" s="3"/>
      <c r="AL19" s="3"/>
      <c r="AM19" s="3"/>
      <c r="AN19" s="1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09"/>
      <c r="BJ19" s="3"/>
      <c r="BK19" s="3"/>
      <c r="BL19" s="3"/>
      <c r="BM19" s="3"/>
      <c r="BN19" s="3"/>
      <c r="BO19" s="3"/>
      <c r="BP19" s="3"/>
      <c r="BQ19" s="3"/>
      <c r="BR19" s="3"/>
      <c r="BS19" s="109"/>
      <c r="BT19" s="1"/>
      <c r="BU19" s="3"/>
      <c r="BV19" s="3"/>
      <c r="BW19" s="3"/>
      <c r="BX19" s="3"/>
    </row>
    <row r="20" spans="1:76" ht="12.75">
      <c r="A20" s="3"/>
      <c r="B20" s="3"/>
      <c r="C20" s="3"/>
      <c r="D20" s="3"/>
      <c r="E20" s="3"/>
      <c r="F20" s="3"/>
      <c r="G20" s="129" t="s">
        <v>67</v>
      </c>
      <c r="I20" s="3"/>
      <c r="J20" s="3"/>
      <c r="K20" s="3"/>
      <c r="L20" s="3" t="s">
        <v>69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129"/>
      <c r="AQ20" s="3"/>
      <c r="AR20" s="3"/>
      <c r="AS20" s="3"/>
      <c r="AT20" s="3"/>
      <c r="AU20" s="3"/>
      <c r="AV20" s="3"/>
      <c r="AW20" s="3"/>
      <c r="AX20" s="3"/>
      <c r="AY20" s="110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1"/>
      <c r="BU20" s="3"/>
      <c r="BV20" s="3"/>
      <c r="BW20" s="3"/>
      <c r="BX20" s="3"/>
    </row>
    <row r="21" spans="1:76" ht="12.75">
      <c r="A21" s="3"/>
      <c r="B21" s="3"/>
      <c r="C21" s="3"/>
      <c r="D21" t="s">
        <v>70</v>
      </c>
      <c r="K21" s="3"/>
      <c r="L21" s="3"/>
      <c r="M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1"/>
      <c r="BU21" s="3"/>
      <c r="BV21" s="3"/>
      <c r="BW21" s="3"/>
      <c r="BX21" s="3"/>
    </row>
    <row r="22" spans="1:76" ht="12.75">
      <c r="A22" s="3"/>
      <c r="B22" s="3"/>
      <c r="C22" s="3"/>
      <c r="D22" s="217"/>
      <c r="E22" s="217"/>
      <c r="F22" s="217"/>
      <c r="G22" s="217"/>
      <c r="H22" s="217"/>
      <c r="J22" s="217"/>
      <c r="K22" s="3"/>
      <c r="L22" s="3"/>
      <c r="M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1"/>
      <c r="BU22" s="3"/>
      <c r="BV22" s="3"/>
      <c r="BW22" s="3"/>
      <c r="BX22" s="3"/>
    </row>
    <row r="23" spans="1:76" ht="128.25">
      <c r="A23" s="191"/>
      <c r="B23" s="197" t="s">
        <v>127</v>
      </c>
      <c r="C23" s="196" t="s">
        <v>78</v>
      </c>
      <c r="D23" s="196" t="s">
        <v>114</v>
      </c>
      <c r="E23" s="196" t="s">
        <v>113</v>
      </c>
      <c r="F23" s="195" t="s">
        <v>128</v>
      </c>
      <c r="G23" s="195" t="s">
        <v>140</v>
      </c>
      <c r="H23" s="195" t="s">
        <v>129</v>
      </c>
      <c r="I23" s="113"/>
      <c r="J23" s="202" t="s">
        <v>124</v>
      </c>
      <c r="K23" s="197" t="s">
        <v>123</v>
      </c>
      <c r="L23" s="199" t="s">
        <v>115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1"/>
      <c r="BU23" s="3"/>
      <c r="BV23" s="3"/>
      <c r="BW23" s="3"/>
      <c r="BX23" s="3"/>
    </row>
    <row r="24" spans="1:76" ht="12.75">
      <c r="A24" s="204"/>
      <c r="B24" s="71"/>
      <c r="C24" s="116" t="s">
        <v>119</v>
      </c>
      <c r="D24" s="116" t="s">
        <v>68</v>
      </c>
      <c r="E24" s="116" t="s">
        <v>120</v>
      </c>
      <c r="F24" s="116" t="s">
        <v>121</v>
      </c>
      <c r="G24" s="116" t="s">
        <v>122</v>
      </c>
      <c r="H24" s="201" t="s">
        <v>121</v>
      </c>
      <c r="I24" s="71"/>
      <c r="J24" s="116" t="s">
        <v>142</v>
      </c>
      <c r="K24" s="116" t="s">
        <v>71</v>
      </c>
      <c r="L24" s="158" t="s">
        <v>141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1"/>
      <c r="AO24" s="3"/>
      <c r="AP24" s="3"/>
      <c r="AQ24" s="3"/>
      <c r="AR24" s="89"/>
      <c r="AS24" s="89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1"/>
      <c r="BU24" s="3"/>
      <c r="BV24" s="3"/>
      <c r="BW24" s="3"/>
      <c r="BX24" s="3"/>
    </row>
    <row r="25" spans="1:76" ht="12.75">
      <c r="A25" s="205"/>
      <c r="B25" s="71"/>
      <c r="C25" s="140">
        <v>1</v>
      </c>
      <c r="D25" s="161">
        <v>2</v>
      </c>
      <c r="E25" s="162">
        <v>3</v>
      </c>
      <c r="F25" s="162">
        <v>4</v>
      </c>
      <c r="G25" s="140">
        <v>5</v>
      </c>
      <c r="H25" s="161">
        <v>6</v>
      </c>
      <c r="I25" s="140">
        <v>7</v>
      </c>
      <c r="J25" s="140">
        <v>8</v>
      </c>
      <c r="K25" s="140">
        <v>9</v>
      </c>
      <c r="L25" s="163">
        <v>10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1"/>
      <c r="AO25" s="3"/>
      <c r="AP25" s="3"/>
      <c r="AQ25" s="3"/>
      <c r="AR25" s="89"/>
      <c r="AS25" s="89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1"/>
      <c r="BU25" s="3"/>
      <c r="BV25" s="3"/>
      <c r="BW25" s="3"/>
      <c r="BX25" s="3"/>
    </row>
    <row r="26" spans="1:76" ht="12.75">
      <c r="A26" s="4">
        <v>1</v>
      </c>
      <c r="B26" s="17" t="s">
        <v>8</v>
      </c>
      <c r="C26" s="153">
        <f aca="true" t="shared" si="27" ref="C26:C32">AO6</f>
        <v>1.4593567415481181</v>
      </c>
      <c r="D26" s="111">
        <v>291.3</v>
      </c>
      <c r="E26" s="188">
        <f>BU6</f>
        <v>12524.8</v>
      </c>
      <c r="F26" s="185">
        <f>E13</f>
        <v>8690</v>
      </c>
      <c r="G26" s="153">
        <f aca="true" t="shared" si="28" ref="G26:G32">BT6</f>
        <v>1.046387469841839</v>
      </c>
      <c r="H26" s="114">
        <f aca="true" t="shared" si="29" ref="H26:H32">E6</f>
        <v>3949</v>
      </c>
      <c r="I26" s="71"/>
      <c r="J26" s="155">
        <f>(E26/F26)*G26*H26</f>
        <v>5955.670845362972</v>
      </c>
      <c r="K26" s="155">
        <f>D26/J26</f>
        <v>0.0489113665888375</v>
      </c>
      <c r="L26" s="154">
        <f aca="true" t="shared" si="30" ref="L26:L32">C26+K26</f>
        <v>1.5082681081369556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105"/>
      <c r="AM26" s="252"/>
      <c r="AN26" s="254"/>
      <c r="AO26" s="3"/>
      <c r="AP26" s="99"/>
      <c r="AQ26" s="3"/>
      <c r="AR26" s="3"/>
      <c r="AS26" s="3"/>
      <c r="AT26" s="156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1"/>
      <c r="BU26" s="3"/>
      <c r="BV26" s="3"/>
      <c r="BW26" s="3"/>
      <c r="BX26" s="3"/>
    </row>
    <row r="27" spans="1:76" ht="12.75">
      <c r="A27" s="5">
        <v>2</v>
      </c>
      <c r="B27" s="18" t="s">
        <v>9</v>
      </c>
      <c r="C27" s="153">
        <f t="shared" si="27"/>
        <v>1.0039889386505716</v>
      </c>
      <c r="D27" s="111">
        <v>0</v>
      </c>
      <c r="E27" s="189"/>
      <c r="F27" s="186"/>
      <c r="G27" s="153">
        <f t="shared" si="28"/>
        <v>1.0301043832173842</v>
      </c>
      <c r="H27" s="114">
        <f t="shared" si="29"/>
        <v>525</v>
      </c>
      <c r="I27" s="71"/>
      <c r="J27" s="155">
        <f>(E26/F26)*G27*H27</f>
        <v>779.4559233525401</v>
      </c>
      <c r="K27" s="155">
        <f aca="true" t="shared" si="31" ref="K27:K32">D27/J27</f>
        <v>0</v>
      </c>
      <c r="L27" s="154">
        <f t="shared" si="30"/>
        <v>1.0039889386505716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105"/>
      <c r="AM27" s="253"/>
      <c r="AN27" s="255"/>
      <c r="AO27" s="3"/>
      <c r="AP27" s="99"/>
      <c r="AQ27" s="3"/>
      <c r="AR27" s="3"/>
      <c r="AS27" s="3"/>
      <c r="AT27" s="156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1"/>
      <c r="BU27" s="3"/>
      <c r="BV27" s="3"/>
      <c r="BW27" s="3"/>
      <c r="BX27" s="3"/>
    </row>
    <row r="28" spans="1:76" ht="12.75">
      <c r="A28" s="5">
        <v>3</v>
      </c>
      <c r="B28" s="18" t="s">
        <v>10</v>
      </c>
      <c r="C28" s="153">
        <f t="shared" si="27"/>
        <v>0.5698412018249172</v>
      </c>
      <c r="D28" s="111">
        <v>0</v>
      </c>
      <c r="E28" s="189"/>
      <c r="F28" s="186"/>
      <c r="G28" s="153">
        <f t="shared" si="28"/>
        <v>0.9236908031221593</v>
      </c>
      <c r="H28" s="114">
        <f t="shared" si="29"/>
        <v>937</v>
      </c>
      <c r="I28" s="71"/>
      <c r="J28" s="155">
        <f>(E26/F26)*G28*H28</f>
        <v>1247.4330136910153</v>
      </c>
      <c r="K28" s="155">
        <f t="shared" si="31"/>
        <v>0</v>
      </c>
      <c r="L28" s="154">
        <f t="shared" si="30"/>
        <v>0.5698412018249172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105"/>
      <c r="AM28" s="253"/>
      <c r="AN28" s="255"/>
      <c r="AO28" s="3"/>
      <c r="AP28" s="99"/>
      <c r="AQ28" s="3"/>
      <c r="AR28" s="3"/>
      <c r="AS28" s="3"/>
      <c r="AT28" s="156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1"/>
      <c r="BU28" s="3"/>
      <c r="BV28" s="3"/>
      <c r="BW28" s="3"/>
      <c r="BX28" s="3"/>
    </row>
    <row r="29" spans="1:76" ht="12.75">
      <c r="A29" s="5">
        <v>4</v>
      </c>
      <c r="B29" s="18" t="s">
        <v>11</v>
      </c>
      <c r="C29" s="153">
        <f t="shared" si="27"/>
        <v>0.39632492155784255</v>
      </c>
      <c r="D29" s="111">
        <v>0</v>
      </c>
      <c r="E29" s="189"/>
      <c r="F29" s="186"/>
      <c r="G29" s="153">
        <f t="shared" si="28"/>
        <v>0.9420167521599243</v>
      </c>
      <c r="H29" s="114">
        <f t="shared" si="29"/>
        <v>919</v>
      </c>
      <c r="I29" s="71"/>
      <c r="J29" s="155">
        <f>(E26/F26)*G29*H29</f>
        <v>1247.7430532380847</v>
      </c>
      <c r="K29" s="155">
        <f t="shared" si="31"/>
        <v>0</v>
      </c>
      <c r="L29" s="154">
        <f t="shared" si="30"/>
        <v>0.39632492155784255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05"/>
      <c r="AM29" s="253"/>
      <c r="AN29" s="255"/>
      <c r="AO29" s="3"/>
      <c r="AP29" s="99"/>
      <c r="AQ29" s="3"/>
      <c r="AR29" s="3"/>
      <c r="AS29" s="3"/>
      <c r="AT29" s="156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1"/>
      <c r="BU29" s="3"/>
      <c r="BV29" s="3"/>
      <c r="BW29" s="3"/>
      <c r="BX29" s="3"/>
    </row>
    <row r="30" spans="1:76" ht="12.75">
      <c r="A30" s="5">
        <v>5</v>
      </c>
      <c r="B30" s="18" t="s">
        <v>12</v>
      </c>
      <c r="C30" s="153">
        <f t="shared" si="27"/>
        <v>0.2885547105964492</v>
      </c>
      <c r="D30" s="111">
        <v>195.6</v>
      </c>
      <c r="E30" s="189"/>
      <c r="F30" s="186"/>
      <c r="G30" s="153">
        <f t="shared" si="28"/>
        <v>0.9183979110003169</v>
      </c>
      <c r="H30" s="114">
        <f t="shared" si="29"/>
        <v>989</v>
      </c>
      <c r="I30" s="71"/>
      <c r="J30" s="155">
        <f>(E26/F26)*G30*H30</f>
        <v>1309.1162144975954</v>
      </c>
      <c r="K30" s="155">
        <f t="shared" si="31"/>
        <v>0.14941377842078457</v>
      </c>
      <c r="L30" s="154">
        <f t="shared" si="30"/>
        <v>0.4379684890172338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105"/>
      <c r="AM30" s="253"/>
      <c r="AN30" s="255"/>
      <c r="AO30" s="3"/>
      <c r="AP30" s="99"/>
      <c r="AQ30" s="3"/>
      <c r="AR30" s="3"/>
      <c r="AS30" s="3"/>
      <c r="AT30" s="156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1"/>
      <c r="BU30" s="3"/>
      <c r="BV30" s="3"/>
      <c r="BW30" s="3"/>
      <c r="BX30" s="3"/>
    </row>
    <row r="31" spans="1:76" ht="12.75">
      <c r="A31" s="5">
        <v>6</v>
      </c>
      <c r="B31" s="18" t="s">
        <v>13</v>
      </c>
      <c r="C31" s="153">
        <f t="shared" si="27"/>
        <v>0.6024142027711321</v>
      </c>
      <c r="D31" s="111">
        <v>0</v>
      </c>
      <c r="E31" s="189"/>
      <c r="F31" s="186"/>
      <c r="G31" s="153">
        <f t="shared" si="28"/>
        <v>1.0052032480000135</v>
      </c>
      <c r="H31" s="114">
        <f t="shared" si="29"/>
        <v>846</v>
      </c>
      <c r="I31" s="71"/>
      <c r="J31" s="155">
        <f>(E26/F26)*G31*H31</f>
        <v>1225.6748349718964</v>
      </c>
      <c r="K31" s="155">
        <f t="shared" si="31"/>
        <v>0</v>
      </c>
      <c r="L31" s="154">
        <f t="shared" si="30"/>
        <v>0.6024142027711321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105"/>
      <c r="AM31" s="253"/>
      <c r="AN31" s="255"/>
      <c r="AO31" s="3"/>
      <c r="AP31" s="99"/>
      <c r="AQ31" s="3"/>
      <c r="AR31" s="3"/>
      <c r="AS31" s="3"/>
      <c r="AT31" s="156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1"/>
      <c r="BU31" s="3"/>
      <c r="BV31" s="3"/>
      <c r="BW31" s="3"/>
      <c r="BX31" s="3"/>
    </row>
    <row r="32" spans="1:76" ht="13.5" thickBot="1">
      <c r="A32" s="5">
        <v>7</v>
      </c>
      <c r="B32" s="18" t="s">
        <v>14</v>
      </c>
      <c r="C32" s="153">
        <f t="shared" si="27"/>
        <v>0.6046921081682836</v>
      </c>
      <c r="D32" s="111">
        <v>0</v>
      </c>
      <c r="E32" s="189"/>
      <c r="F32" s="186"/>
      <c r="G32" s="153">
        <f t="shared" si="28"/>
        <v>1.0040036587765562</v>
      </c>
      <c r="H32" s="114">
        <f t="shared" si="29"/>
        <v>525</v>
      </c>
      <c r="I32" s="71"/>
      <c r="J32" s="155">
        <f>(E26/F26)*G32*H32</f>
        <v>759.7061148858942</v>
      </c>
      <c r="K32" s="155">
        <f t="shared" si="31"/>
        <v>0</v>
      </c>
      <c r="L32" s="154">
        <f t="shared" si="30"/>
        <v>0.6046921081682836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105"/>
      <c r="AM32" s="253"/>
      <c r="AN32" s="255"/>
      <c r="AO32" s="3"/>
      <c r="AP32" s="99"/>
      <c r="AQ32" s="3"/>
      <c r="AR32" s="3"/>
      <c r="AS32" s="3"/>
      <c r="AT32" s="156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1"/>
      <c r="BU32" s="3"/>
      <c r="BV32" s="3"/>
      <c r="BW32" s="3"/>
      <c r="BX32" s="3"/>
    </row>
    <row r="33" spans="1:76" ht="13.5" thickBot="1">
      <c r="A33" s="12"/>
      <c r="B33" s="14"/>
      <c r="C33" s="71"/>
      <c r="D33" s="112">
        <f>SUM(D26:D32)</f>
        <v>486.9</v>
      </c>
      <c r="E33" s="190"/>
      <c r="F33" s="187"/>
      <c r="G33" s="71"/>
      <c r="H33" s="115">
        <f>SUM(H26:H32)</f>
        <v>8690</v>
      </c>
      <c r="I33" s="71"/>
      <c r="J33" s="71"/>
      <c r="K33" s="71"/>
      <c r="L33" s="15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05"/>
      <c r="AM33" s="253"/>
      <c r="AN33" s="255"/>
      <c r="AO33" s="3"/>
      <c r="AP33" s="33"/>
      <c r="AQ33" s="3"/>
      <c r="AR33" s="3"/>
      <c r="AS33" s="3"/>
      <c r="AT33" s="156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1"/>
      <c r="BU33" s="3"/>
      <c r="BV33" s="3"/>
      <c r="BW33" s="3"/>
      <c r="BX33" s="3"/>
    </row>
    <row r="34" spans="6:8" ht="12.75">
      <c r="F34" s="217"/>
      <c r="G34" s="217"/>
      <c r="H34" s="217"/>
    </row>
    <row r="36" ht="12.75">
      <c r="L36" t="s">
        <v>143</v>
      </c>
    </row>
    <row r="37" spans="2:16" ht="12.75">
      <c r="B37" s="200" t="s">
        <v>65</v>
      </c>
      <c r="K37" s="3"/>
      <c r="L37" t="s">
        <v>138</v>
      </c>
      <c r="M37" s="3"/>
      <c r="N37" s="3"/>
      <c r="O37" s="3"/>
      <c r="P37" s="3"/>
    </row>
    <row r="38" spans="2:16" ht="12.75">
      <c r="B38" s="230" t="s">
        <v>158</v>
      </c>
      <c r="C38" s="159"/>
      <c r="D38" s="159"/>
      <c r="E38" s="159"/>
      <c r="F38" s="159"/>
      <c r="G38" s="159"/>
      <c r="H38" s="159"/>
      <c r="I38" s="159"/>
      <c r="J38" s="159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219"/>
      <c r="J39" s="3"/>
      <c r="K39" s="220"/>
      <c r="L39" s="3"/>
      <c r="M39" s="3"/>
      <c r="N39" s="3"/>
      <c r="O39" s="3"/>
      <c r="P39" s="3"/>
    </row>
    <row r="40" spans="1:17" ht="12.75">
      <c r="A40" s="3"/>
      <c r="B40" s="130"/>
      <c r="C40" s="256" t="s">
        <v>130</v>
      </c>
      <c r="D40" s="256" t="s">
        <v>131</v>
      </c>
      <c r="E40" s="257" t="s">
        <v>132</v>
      </c>
      <c r="F40" s="130"/>
      <c r="G40" s="130"/>
      <c r="H40" s="258" t="s">
        <v>116</v>
      </c>
      <c r="I40" s="257" t="s">
        <v>118</v>
      </c>
      <c r="J40" s="259" t="s">
        <v>117</v>
      </c>
      <c r="K40" s="132"/>
      <c r="L40" s="236" t="s">
        <v>139</v>
      </c>
      <c r="M40" s="238" t="s">
        <v>125</v>
      </c>
      <c r="N40" s="131"/>
      <c r="O40" s="174"/>
      <c r="P40" s="240" t="s">
        <v>157</v>
      </c>
      <c r="Q40" s="242" t="s">
        <v>167</v>
      </c>
    </row>
    <row r="41" spans="1:17" ht="133.5" customHeight="1">
      <c r="A41" s="3"/>
      <c r="B41" s="194" t="s">
        <v>126</v>
      </c>
      <c r="C41" s="239"/>
      <c r="D41" s="239"/>
      <c r="E41" s="239"/>
      <c r="F41" s="193" t="s">
        <v>134</v>
      </c>
      <c r="G41" s="193" t="s">
        <v>135</v>
      </c>
      <c r="H41" s="239"/>
      <c r="I41" s="239"/>
      <c r="J41" s="260"/>
      <c r="K41" s="133" t="s">
        <v>133</v>
      </c>
      <c r="L41" s="237"/>
      <c r="M41" s="239"/>
      <c r="N41" s="173" t="s">
        <v>136</v>
      </c>
      <c r="O41" s="172" t="s">
        <v>137</v>
      </c>
      <c r="P41" s="241"/>
      <c r="Q41" s="242"/>
    </row>
    <row r="42" spans="1:17" ht="12.75">
      <c r="A42" s="3"/>
      <c r="B42" s="203"/>
      <c r="C42" s="134">
        <v>1</v>
      </c>
      <c r="D42" s="135">
        <v>2</v>
      </c>
      <c r="E42" s="135">
        <v>3</v>
      </c>
      <c r="F42" s="135">
        <v>4</v>
      </c>
      <c r="G42" s="135">
        <v>5</v>
      </c>
      <c r="H42" s="136">
        <v>6</v>
      </c>
      <c r="I42" s="136">
        <v>7</v>
      </c>
      <c r="J42" s="136">
        <v>8</v>
      </c>
      <c r="K42" s="136">
        <v>9</v>
      </c>
      <c r="L42" s="136">
        <v>10</v>
      </c>
      <c r="M42" s="135">
        <v>11</v>
      </c>
      <c r="N42" s="135">
        <v>12</v>
      </c>
      <c r="O42" s="135">
        <v>13</v>
      </c>
      <c r="P42" s="208">
        <v>14</v>
      </c>
      <c r="Q42" s="229">
        <v>15</v>
      </c>
    </row>
    <row r="43" spans="1:22" ht="12.75">
      <c r="A43" s="3"/>
      <c r="B43" s="137" t="s">
        <v>8</v>
      </c>
      <c r="C43" s="138">
        <f aca="true" t="shared" si="32" ref="C43:C49">L26</f>
        <v>1.5082681081369556</v>
      </c>
      <c r="D43" s="138">
        <f aca="true" t="shared" si="33" ref="D43:D49">BT6</f>
        <v>1.046387469841839</v>
      </c>
      <c r="E43" s="157">
        <f>E6</f>
        <v>3949</v>
      </c>
      <c r="F43" s="138">
        <f aca="true" t="shared" si="34" ref="F43:F49">C43*D43*E43</f>
        <v>6232.441522740919</v>
      </c>
      <c r="G43" s="160">
        <f>D43*E43</f>
        <v>4132.184118405422</v>
      </c>
      <c r="H43" s="243">
        <v>24689.9</v>
      </c>
      <c r="I43" s="245">
        <f>E13</f>
        <v>8690</v>
      </c>
      <c r="J43" s="245">
        <f>BU6</f>
        <v>12524.8</v>
      </c>
      <c r="K43" s="246">
        <f>H43/(J43/I43)</f>
        <v>17130.431703500257</v>
      </c>
      <c r="L43" s="178">
        <f>(K43+F50)/G50</f>
        <v>2.9886040328329986</v>
      </c>
      <c r="M43" s="139">
        <f>L43-C43</f>
        <v>1.480335924696043</v>
      </c>
      <c r="N43" s="247">
        <f>J43/I43</f>
        <v>1.4412888377445339</v>
      </c>
      <c r="O43" s="164">
        <f>N43*M43*D43*E43</f>
        <v>8816.39350805566</v>
      </c>
      <c r="P43" s="209">
        <v>6086.5</v>
      </c>
      <c r="Q43" s="233">
        <v>2729.9</v>
      </c>
      <c r="R43" s="235"/>
      <c r="S43" s="235"/>
      <c r="V43" s="235"/>
    </row>
    <row r="44" spans="1:22" ht="12.75">
      <c r="A44" s="3"/>
      <c r="B44" s="116" t="s">
        <v>9</v>
      </c>
      <c r="C44" s="138">
        <f t="shared" si="32"/>
        <v>1.0039889386505716</v>
      </c>
      <c r="D44" s="138">
        <f t="shared" si="33"/>
        <v>1.0301043832173842</v>
      </c>
      <c r="E44" s="157">
        <f aca="true" t="shared" si="35" ref="E44:E49">E7</f>
        <v>525</v>
      </c>
      <c r="F44" s="138">
        <f t="shared" si="34"/>
        <v>542.9620383630047</v>
      </c>
      <c r="G44" s="160">
        <f aca="true" t="shared" si="36" ref="G44:G49">D44*E44</f>
        <v>540.8048011891267</v>
      </c>
      <c r="H44" s="244"/>
      <c r="I44" s="244"/>
      <c r="J44" s="244"/>
      <c r="K44" s="244"/>
      <c r="L44" s="179"/>
      <c r="M44" s="139">
        <f>L43-C44</f>
        <v>1.984615094182427</v>
      </c>
      <c r="N44" s="244"/>
      <c r="O44" s="164">
        <f>N43*M44*D44*E44</f>
        <v>1546.919990735352</v>
      </c>
      <c r="P44" s="209">
        <v>1020.1</v>
      </c>
      <c r="Q44" s="141">
        <v>526.8</v>
      </c>
      <c r="R44" s="235"/>
      <c r="S44" s="235"/>
      <c r="V44" s="235"/>
    </row>
    <row r="45" spans="1:22" ht="12.75">
      <c r="A45" s="3"/>
      <c r="B45" s="116" t="s">
        <v>10</v>
      </c>
      <c r="C45" s="138">
        <f t="shared" si="32"/>
        <v>0.5698412018249172</v>
      </c>
      <c r="D45" s="138">
        <f t="shared" si="33"/>
        <v>0.9236908031221593</v>
      </c>
      <c r="E45" s="157">
        <f t="shared" si="35"/>
        <v>937</v>
      </c>
      <c r="F45" s="138">
        <f t="shared" si="34"/>
        <v>493.1965814917117</v>
      </c>
      <c r="G45" s="160">
        <f t="shared" si="36"/>
        <v>865.4982825254633</v>
      </c>
      <c r="H45" s="244"/>
      <c r="I45" s="244"/>
      <c r="J45" s="244"/>
      <c r="K45" s="244"/>
      <c r="L45" s="179"/>
      <c r="M45" s="139">
        <f>L43-C45</f>
        <v>2.4187628310080815</v>
      </c>
      <c r="N45" s="244"/>
      <c r="O45" s="164">
        <f>N43*M45*D45*E45</f>
        <v>3017.2446076882234</v>
      </c>
      <c r="P45" s="209">
        <v>2445.1</v>
      </c>
      <c r="Q45" s="141">
        <v>572.1</v>
      </c>
      <c r="R45" s="235"/>
      <c r="S45" s="235"/>
      <c r="V45" s="235"/>
    </row>
    <row r="46" spans="1:22" ht="12.75">
      <c r="A46" s="3"/>
      <c r="B46" s="116" t="s">
        <v>11</v>
      </c>
      <c r="C46" s="138">
        <f t="shared" si="32"/>
        <v>0.39632492155784255</v>
      </c>
      <c r="D46" s="138">
        <f t="shared" si="33"/>
        <v>0.9420167521599243</v>
      </c>
      <c r="E46" s="157">
        <f t="shared" si="35"/>
        <v>919</v>
      </c>
      <c r="F46" s="138">
        <f t="shared" si="34"/>
        <v>343.1037934580732</v>
      </c>
      <c r="G46" s="160">
        <f t="shared" si="36"/>
        <v>865.7133952349704</v>
      </c>
      <c r="H46" s="244"/>
      <c r="I46" s="244"/>
      <c r="J46" s="244"/>
      <c r="K46" s="244"/>
      <c r="L46" s="179"/>
      <c r="M46" s="139">
        <f>L43-C46</f>
        <v>2.592279111275156</v>
      </c>
      <c r="N46" s="244"/>
      <c r="O46" s="164">
        <f>N43*M46*D46*E46</f>
        <v>3234.4982531477726</v>
      </c>
      <c r="P46" s="209">
        <v>2563.2</v>
      </c>
      <c r="Q46" s="141">
        <v>671.3</v>
      </c>
      <c r="R46" s="235"/>
      <c r="S46" s="235"/>
      <c r="V46" s="235"/>
    </row>
    <row r="47" spans="1:22" ht="12.75">
      <c r="A47" s="3"/>
      <c r="B47" s="116" t="s">
        <v>12</v>
      </c>
      <c r="C47" s="138">
        <f t="shared" si="32"/>
        <v>0.4379684890172338</v>
      </c>
      <c r="D47" s="138">
        <f t="shared" si="33"/>
        <v>0.9183979110003169</v>
      </c>
      <c r="E47" s="157">
        <f t="shared" si="35"/>
        <v>989</v>
      </c>
      <c r="F47" s="138">
        <f t="shared" si="34"/>
        <v>397.8048225980214</v>
      </c>
      <c r="G47" s="160">
        <f t="shared" si="36"/>
        <v>908.2955339793134</v>
      </c>
      <c r="H47" s="244"/>
      <c r="I47" s="244"/>
      <c r="J47" s="244"/>
      <c r="K47" s="244"/>
      <c r="L47" s="179"/>
      <c r="M47" s="139">
        <f>L43-C47</f>
        <v>2.5506355438157646</v>
      </c>
      <c r="N47" s="244"/>
      <c r="O47" s="164">
        <f>N43*M47*D47*E47</f>
        <v>3339.0783476831093</v>
      </c>
      <c r="P47" s="209">
        <v>2738.7</v>
      </c>
      <c r="Q47" s="141">
        <v>600.4</v>
      </c>
      <c r="R47" s="235"/>
      <c r="S47" s="235"/>
      <c r="V47" s="235"/>
    </row>
    <row r="48" spans="1:22" ht="12.75">
      <c r="A48" s="3"/>
      <c r="B48" s="116" t="s">
        <v>13</v>
      </c>
      <c r="C48" s="138">
        <f t="shared" si="32"/>
        <v>0.6024142027711321</v>
      </c>
      <c r="D48" s="138">
        <f t="shared" si="33"/>
        <v>1.0052032480000135</v>
      </c>
      <c r="E48" s="157">
        <f t="shared" si="35"/>
        <v>846</v>
      </c>
      <c r="F48" s="138">
        <f t="shared" si="34"/>
        <v>512.2942114237811</v>
      </c>
      <c r="G48" s="160">
        <f t="shared" si="36"/>
        <v>850.4019478080114</v>
      </c>
      <c r="H48" s="244"/>
      <c r="I48" s="244"/>
      <c r="J48" s="244"/>
      <c r="K48" s="244"/>
      <c r="L48" s="179"/>
      <c r="M48" s="139">
        <f>L43-C48</f>
        <v>2.3861898300618662</v>
      </c>
      <c r="N48" s="244"/>
      <c r="O48" s="164">
        <f>N43*M48*D48*E48</f>
        <v>2924.6928261726957</v>
      </c>
      <c r="P48" s="209">
        <v>2362.5</v>
      </c>
      <c r="Q48" s="141">
        <v>562.2</v>
      </c>
      <c r="R48" s="235"/>
      <c r="S48" s="235"/>
      <c r="V48" s="235"/>
    </row>
    <row r="49" spans="1:22" ht="12.75">
      <c r="A49" s="3"/>
      <c r="B49" s="116" t="s">
        <v>14</v>
      </c>
      <c r="C49" s="138">
        <f t="shared" si="32"/>
        <v>0.6046921081682836</v>
      </c>
      <c r="D49" s="138">
        <f t="shared" si="33"/>
        <v>1.0040036587765562</v>
      </c>
      <c r="E49" s="157">
        <f t="shared" si="35"/>
        <v>525</v>
      </c>
      <c r="F49" s="138">
        <f t="shared" si="34"/>
        <v>318.73437174298954</v>
      </c>
      <c r="G49" s="160">
        <f t="shared" si="36"/>
        <v>527.101920857692</v>
      </c>
      <c r="H49" s="239"/>
      <c r="I49" s="239"/>
      <c r="J49" s="239"/>
      <c r="K49" s="239"/>
      <c r="L49" s="180"/>
      <c r="M49" s="139">
        <f>L43-C49</f>
        <v>2.383911924664715</v>
      </c>
      <c r="N49" s="239"/>
      <c r="O49" s="164">
        <f>N43*M49*D49*E49</f>
        <v>1811.072466517185</v>
      </c>
      <c r="P49" s="209">
        <v>1462.6</v>
      </c>
      <c r="Q49" s="141">
        <v>348.5</v>
      </c>
      <c r="R49" s="235"/>
      <c r="S49" s="235"/>
      <c r="V49" s="235"/>
    </row>
    <row r="50" spans="2:22" ht="12.75">
      <c r="B50" s="142" t="s">
        <v>66</v>
      </c>
      <c r="C50" s="141"/>
      <c r="D50" s="141"/>
      <c r="E50" s="227">
        <f>SUM(E43:E49)</f>
        <v>8690</v>
      </c>
      <c r="F50" s="165">
        <f>SUM(F43:F49)</f>
        <v>8840.5373418185</v>
      </c>
      <c r="G50" s="166">
        <f>SUM(G43:G49)</f>
        <v>8690</v>
      </c>
      <c r="H50" s="141"/>
      <c r="I50" s="141"/>
      <c r="J50" s="141"/>
      <c r="K50" s="141"/>
      <c r="L50" s="141"/>
      <c r="M50" s="141"/>
      <c r="N50" s="141"/>
      <c r="O50" s="171">
        <f>SUM(O43:O49)</f>
        <v>24689.899999999998</v>
      </c>
      <c r="P50" s="210">
        <f>SUM(P43:P49)</f>
        <v>18678.7</v>
      </c>
      <c r="Q50" s="141">
        <f>SUM(Q43:Q49)</f>
        <v>6011.199999999999</v>
      </c>
      <c r="R50" s="235"/>
      <c r="S50" s="235"/>
      <c r="V50" s="235"/>
    </row>
    <row r="51" spans="1:17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219"/>
    </row>
  </sheetData>
  <sheetProtection/>
  <mergeCells count="73">
    <mergeCell ref="C1:T1"/>
    <mergeCell ref="A3:A4"/>
    <mergeCell ref="B3:B4"/>
    <mergeCell ref="C3:D3"/>
    <mergeCell ref="E3:E4"/>
    <mergeCell ref="F3:L3"/>
    <mergeCell ref="M3:S3"/>
    <mergeCell ref="T3:Z3"/>
    <mergeCell ref="AA3:AG3"/>
    <mergeCell ref="AH3:AH4"/>
    <mergeCell ref="AI3:AI4"/>
    <mergeCell ref="AJ3:AJ4"/>
    <mergeCell ref="AK3:AK4"/>
    <mergeCell ref="AL3:AL4"/>
    <mergeCell ref="AM3:AM4"/>
    <mergeCell ref="AN3:AN4"/>
    <mergeCell ref="AO3:AO4"/>
    <mergeCell ref="AS3:AS4"/>
    <mergeCell ref="AT3:AT4"/>
    <mergeCell ref="AU3:AU4"/>
    <mergeCell ref="AV3:AV4"/>
    <mergeCell ref="AW3:AW4"/>
    <mergeCell ref="AX3:AX4"/>
    <mergeCell ref="AY3:AY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M3:BM4"/>
    <mergeCell ref="BN3:BN4"/>
    <mergeCell ref="BO3:BO4"/>
    <mergeCell ref="BP3:BP4"/>
    <mergeCell ref="BQ3:BQ4"/>
    <mergeCell ref="BR3:BR4"/>
    <mergeCell ref="BS3:BS4"/>
    <mergeCell ref="BT3:BT4"/>
    <mergeCell ref="BU3:BU4"/>
    <mergeCell ref="BV3:BV4"/>
    <mergeCell ref="BW3:BW4"/>
    <mergeCell ref="BX3:BX4"/>
    <mergeCell ref="AP4:AR4"/>
    <mergeCell ref="BJ4:BL4"/>
    <mergeCell ref="L6:L13"/>
    <mergeCell ref="S6:S13"/>
    <mergeCell ref="Z6:Z13"/>
    <mergeCell ref="AG6:AG13"/>
    <mergeCell ref="AI6:AI13"/>
    <mergeCell ref="AU6:AU13"/>
    <mergeCell ref="AW6:AW13"/>
    <mergeCell ref="BU6:BU13"/>
    <mergeCell ref="AM26:AM33"/>
    <mergeCell ref="AN26:AN33"/>
    <mergeCell ref="C40:C41"/>
    <mergeCell ref="D40:D41"/>
    <mergeCell ref="E40:E41"/>
    <mergeCell ref="H40:H41"/>
    <mergeCell ref="I40:I41"/>
    <mergeCell ref="J40:J41"/>
    <mergeCell ref="L40:L41"/>
    <mergeCell ref="M40:M41"/>
    <mergeCell ref="P40:P41"/>
    <mergeCell ref="Q40:Q41"/>
    <mergeCell ref="H43:H49"/>
    <mergeCell ref="I43:I49"/>
    <mergeCell ref="J43:J49"/>
    <mergeCell ref="K43:K49"/>
    <mergeCell ref="N43:N49"/>
  </mergeCells>
  <printOptions/>
  <pageMargins left="0.7874015748031497" right="0" top="0.3937007874015748" bottom="0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51"/>
  <sheetViews>
    <sheetView tabSelected="1" zoomScalePageLayoutView="0" workbookViewId="0" topLeftCell="A1">
      <selection activeCell="C55" sqref="C55"/>
    </sheetView>
  </sheetViews>
  <sheetFormatPr defaultColWidth="9.00390625" defaultRowHeight="12.75"/>
  <cols>
    <col min="1" max="1" width="4.125" style="0" customWidth="1"/>
    <col min="2" max="2" width="16.75390625" style="0" customWidth="1"/>
    <col min="6" max="6" width="10.875" style="0" customWidth="1"/>
    <col min="10" max="10" width="12.00390625" style="0" customWidth="1"/>
    <col min="11" max="11" width="12.125" style="0" bestFit="1" customWidth="1"/>
    <col min="19" max="19" width="11.125" style="0" bestFit="1" customWidth="1"/>
    <col min="26" max="26" width="11.75390625" style="0" bestFit="1" customWidth="1"/>
    <col min="27" max="27" width="8.75390625" style="0" customWidth="1"/>
    <col min="33" max="33" width="11.125" style="0" bestFit="1" customWidth="1"/>
    <col min="39" max="39" width="12.75390625" style="0" customWidth="1"/>
    <col min="40" max="40" width="10.625" style="0" bestFit="1" customWidth="1"/>
    <col min="61" max="61" width="7.125" style="0" customWidth="1"/>
    <col min="67" max="67" width="5.75390625" style="0" customWidth="1"/>
    <col min="70" max="70" width="7.75390625" style="0" customWidth="1"/>
    <col min="75" max="75" width="6.875" style="0" customWidth="1"/>
  </cols>
  <sheetData>
    <row r="1" spans="1:77" ht="39" customHeight="1">
      <c r="A1" s="1"/>
      <c r="B1" s="1" t="s">
        <v>154</v>
      </c>
      <c r="C1" s="310" t="s">
        <v>149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1"/>
      <c r="AV1" s="21"/>
      <c r="AW1" s="1"/>
      <c r="AX1" s="1"/>
      <c r="AY1" s="1"/>
      <c r="AZ1" s="1"/>
      <c r="BA1" s="1"/>
      <c r="BB1" s="1"/>
      <c r="BC1" s="1"/>
      <c r="BD1" s="1"/>
      <c r="BE1" s="21"/>
      <c r="BF1" s="21"/>
      <c r="BG1" s="21"/>
      <c r="BH1" s="21"/>
      <c r="BI1" s="2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8.75" thickBot="1">
      <c r="A2" s="1"/>
      <c r="B2" s="1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3.5" thickBot="1">
      <c r="A3" s="288" t="s">
        <v>1</v>
      </c>
      <c r="B3" s="261" t="s">
        <v>0</v>
      </c>
      <c r="C3" s="304"/>
      <c r="D3" s="304"/>
      <c r="E3" s="275" t="s">
        <v>147</v>
      </c>
      <c r="F3" s="303" t="s">
        <v>24</v>
      </c>
      <c r="G3" s="304"/>
      <c r="H3" s="304"/>
      <c r="I3" s="304"/>
      <c r="J3" s="304"/>
      <c r="K3" s="304"/>
      <c r="L3" s="305"/>
      <c r="M3" s="303" t="s">
        <v>25</v>
      </c>
      <c r="N3" s="304"/>
      <c r="O3" s="304"/>
      <c r="P3" s="304"/>
      <c r="Q3" s="304"/>
      <c r="R3" s="304"/>
      <c r="S3" s="304"/>
      <c r="T3" s="305"/>
      <c r="U3" s="303" t="s">
        <v>33</v>
      </c>
      <c r="V3" s="304"/>
      <c r="W3" s="304"/>
      <c r="X3" s="304"/>
      <c r="Y3" s="304"/>
      <c r="Z3" s="304"/>
      <c r="AA3" s="305"/>
      <c r="AB3" s="303" t="s">
        <v>41</v>
      </c>
      <c r="AC3" s="304"/>
      <c r="AD3" s="304"/>
      <c r="AE3" s="304"/>
      <c r="AF3" s="304"/>
      <c r="AG3" s="304"/>
      <c r="AH3" s="305"/>
      <c r="AI3" s="306" t="s">
        <v>75</v>
      </c>
      <c r="AJ3" s="281" t="s">
        <v>51</v>
      </c>
      <c r="AK3" s="281" t="s">
        <v>74</v>
      </c>
      <c r="AL3" s="291" t="s">
        <v>92</v>
      </c>
      <c r="AM3" s="308" t="s">
        <v>148</v>
      </c>
      <c r="AN3" s="290" t="s">
        <v>59</v>
      </c>
      <c r="AO3" s="297" t="s">
        <v>79</v>
      </c>
      <c r="AP3" s="299" t="s">
        <v>64</v>
      </c>
      <c r="AQ3" s="96" t="s">
        <v>2</v>
      </c>
      <c r="AR3" s="97" t="s">
        <v>3</v>
      </c>
      <c r="AS3" s="98" t="s">
        <v>4</v>
      </c>
      <c r="AT3" s="287" t="s">
        <v>60</v>
      </c>
      <c r="AU3" s="301" t="s">
        <v>54</v>
      </c>
      <c r="AV3" s="281" t="s">
        <v>55</v>
      </c>
      <c r="AW3" s="291" t="s">
        <v>105</v>
      </c>
      <c r="AX3" s="281" t="s">
        <v>56</v>
      </c>
      <c r="AY3" s="290" t="s">
        <v>101</v>
      </c>
      <c r="AZ3" s="288" t="s">
        <v>107</v>
      </c>
      <c r="BA3" s="291" t="s">
        <v>108</v>
      </c>
      <c r="BB3" s="291" t="s">
        <v>109</v>
      </c>
      <c r="BC3" s="291" t="s">
        <v>57</v>
      </c>
      <c r="BD3" s="290" t="s">
        <v>103</v>
      </c>
      <c r="BE3" s="293" t="s">
        <v>50</v>
      </c>
      <c r="BF3" s="295" t="s">
        <v>106</v>
      </c>
      <c r="BG3" s="291" t="s">
        <v>58</v>
      </c>
      <c r="BH3" s="281" t="s">
        <v>77</v>
      </c>
      <c r="BI3" s="281" t="s">
        <v>99</v>
      </c>
      <c r="BJ3" s="285" t="s">
        <v>95</v>
      </c>
      <c r="BK3" s="96" t="s">
        <v>5</v>
      </c>
      <c r="BL3" s="97" t="s">
        <v>6</v>
      </c>
      <c r="BM3" s="98" t="s">
        <v>7</v>
      </c>
      <c r="BN3" s="287" t="s">
        <v>61</v>
      </c>
      <c r="BO3" s="288" t="s">
        <v>62</v>
      </c>
      <c r="BP3" s="290" t="s">
        <v>98</v>
      </c>
      <c r="BQ3" s="277" t="s">
        <v>97</v>
      </c>
      <c r="BR3" s="275" t="s">
        <v>63</v>
      </c>
      <c r="BS3" s="277" t="s">
        <v>96</v>
      </c>
      <c r="BT3" s="277" t="s">
        <v>94</v>
      </c>
      <c r="BU3" s="279" t="s">
        <v>93</v>
      </c>
      <c r="BV3" s="281" t="s">
        <v>73</v>
      </c>
      <c r="BW3" s="283" t="s">
        <v>102</v>
      </c>
      <c r="BX3" s="261" t="s">
        <v>111</v>
      </c>
      <c r="BY3" s="261" t="s">
        <v>110</v>
      </c>
    </row>
    <row r="4" spans="1:77" ht="193.5" customHeight="1">
      <c r="A4" s="289"/>
      <c r="B4" s="262"/>
      <c r="C4" s="52" t="s">
        <v>104</v>
      </c>
      <c r="D4" s="52" t="s">
        <v>88</v>
      </c>
      <c r="E4" s="276"/>
      <c r="F4" s="50" t="s">
        <v>80</v>
      </c>
      <c r="G4" s="50" t="s">
        <v>52</v>
      </c>
      <c r="H4" s="52" t="s">
        <v>86</v>
      </c>
      <c r="I4" s="52" t="s">
        <v>87</v>
      </c>
      <c r="J4" s="51" t="s">
        <v>82</v>
      </c>
      <c r="K4" s="52" t="s">
        <v>112</v>
      </c>
      <c r="L4" s="198" t="s">
        <v>81</v>
      </c>
      <c r="M4" s="50" t="s">
        <v>80</v>
      </c>
      <c r="N4" s="50" t="s">
        <v>52</v>
      </c>
      <c r="O4" s="52" t="s">
        <v>89</v>
      </c>
      <c r="P4" s="52" t="s">
        <v>90</v>
      </c>
      <c r="Q4" s="52"/>
      <c r="R4" s="51" t="s">
        <v>83</v>
      </c>
      <c r="S4" s="52" t="s">
        <v>76</v>
      </c>
      <c r="T4" s="198" t="s">
        <v>81</v>
      </c>
      <c r="U4" s="50" t="s">
        <v>80</v>
      </c>
      <c r="V4" s="50" t="s">
        <v>53</v>
      </c>
      <c r="W4" s="52" t="s">
        <v>89</v>
      </c>
      <c r="X4" s="52" t="s">
        <v>90</v>
      </c>
      <c r="Y4" s="51" t="s">
        <v>84</v>
      </c>
      <c r="Z4" s="52" t="s">
        <v>76</v>
      </c>
      <c r="AA4" s="198" t="s">
        <v>81</v>
      </c>
      <c r="AB4" s="50" t="s">
        <v>80</v>
      </c>
      <c r="AC4" s="50" t="s">
        <v>52</v>
      </c>
      <c r="AD4" s="52" t="s">
        <v>89</v>
      </c>
      <c r="AE4" s="52" t="s">
        <v>91</v>
      </c>
      <c r="AF4" s="51" t="s">
        <v>85</v>
      </c>
      <c r="AG4" s="52" t="s">
        <v>76</v>
      </c>
      <c r="AH4" s="198" t="s">
        <v>81</v>
      </c>
      <c r="AI4" s="307"/>
      <c r="AJ4" s="282"/>
      <c r="AK4" s="282"/>
      <c r="AL4" s="292"/>
      <c r="AM4" s="309"/>
      <c r="AN4" s="286"/>
      <c r="AO4" s="298"/>
      <c r="AP4" s="300"/>
      <c r="AQ4" s="263" t="s">
        <v>100</v>
      </c>
      <c r="AR4" s="264"/>
      <c r="AS4" s="265"/>
      <c r="AT4" s="286"/>
      <c r="AU4" s="302"/>
      <c r="AV4" s="282"/>
      <c r="AW4" s="292"/>
      <c r="AX4" s="282"/>
      <c r="AY4" s="286"/>
      <c r="AZ4" s="289"/>
      <c r="BA4" s="292"/>
      <c r="BB4" s="292"/>
      <c r="BC4" s="292"/>
      <c r="BD4" s="286"/>
      <c r="BE4" s="294"/>
      <c r="BF4" s="296"/>
      <c r="BG4" s="292"/>
      <c r="BH4" s="282"/>
      <c r="BI4" s="282"/>
      <c r="BJ4" s="286"/>
      <c r="BK4" s="263" t="s">
        <v>100</v>
      </c>
      <c r="BL4" s="264"/>
      <c r="BM4" s="265"/>
      <c r="BN4" s="286"/>
      <c r="BO4" s="289"/>
      <c r="BP4" s="286"/>
      <c r="BQ4" s="278"/>
      <c r="BR4" s="276"/>
      <c r="BS4" s="278"/>
      <c r="BT4" s="278"/>
      <c r="BU4" s="280"/>
      <c r="BV4" s="282"/>
      <c r="BW4" s="284"/>
      <c r="BX4" s="262"/>
      <c r="BY4" s="262"/>
    </row>
    <row r="5" spans="1:77" ht="12.75">
      <c r="A5" s="53"/>
      <c r="B5" s="82">
        <v>1</v>
      </c>
      <c r="C5" s="62" t="s">
        <v>15</v>
      </c>
      <c r="D5" s="58" t="s">
        <v>16</v>
      </c>
      <c r="E5" s="85">
        <v>2</v>
      </c>
      <c r="F5" s="57" t="s">
        <v>17</v>
      </c>
      <c r="G5" s="57" t="s">
        <v>18</v>
      </c>
      <c r="H5" s="58" t="s">
        <v>19</v>
      </c>
      <c r="I5" s="58" t="s">
        <v>20</v>
      </c>
      <c r="J5" s="54" t="s">
        <v>21</v>
      </c>
      <c r="K5" s="81" t="s">
        <v>22</v>
      </c>
      <c r="L5" s="82" t="s">
        <v>23</v>
      </c>
      <c r="M5" s="57" t="s">
        <v>26</v>
      </c>
      <c r="N5" s="57" t="s">
        <v>27</v>
      </c>
      <c r="O5" s="58" t="s">
        <v>28</v>
      </c>
      <c r="P5" s="58" t="s">
        <v>29</v>
      </c>
      <c r="Q5" s="58"/>
      <c r="R5" s="54" t="s">
        <v>30</v>
      </c>
      <c r="S5" s="81" t="s">
        <v>31</v>
      </c>
      <c r="T5" s="81" t="s">
        <v>32</v>
      </c>
      <c r="U5" s="57" t="s">
        <v>34</v>
      </c>
      <c r="V5" s="57" t="s">
        <v>35</v>
      </c>
      <c r="W5" s="58" t="s">
        <v>36</v>
      </c>
      <c r="X5" s="58" t="s">
        <v>37</v>
      </c>
      <c r="Y5" s="54" t="s">
        <v>38</v>
      </c>
      <c r="Z5" s="81" t="s">
        <v>39</v>
      </c>
      <c r="AA5" s="82" t="s">
        <v>40</v>
      </c>
      <c r="AB5" s="57" t="s">
        <v>42</v>
      </c>
      <c r="AC5" s="57" t="s">
        <v>43</v>
      </c>
      <c r="AD5" s="58" t="s">
        <v>44</v>
      </c>
      <c r="AE5" s="58" t="s">
        <v>45</v>
      </c>
      <c r="AF5" s="54" t="s">
        <v>46</v>
      </c>
      <c r="AG5" s="81" t="s">
        <v>47</v>
      </c>
      <c r="AH5" s="82" t="s">
        <v>48</v>
      </c>
      <c r="AI5" s="60">
        <v>8</v>
      </c>
      <c r="AJ5" s="56">
        <v>9</v>
      </c>
      <c r="AK5" s="54">
        <v>10</v>
      </c>
      <c r="AL5" s="58">
        <v>11</v>
      </c>
      <c r="AM5" s="58">
        <v>12</v>
      </c>
      <c r="AN5" s="59">
        <v>13</v>
      </c>
      <c r="AO5" s="61">
        <v>14</v>
      </c>
      <c r="AP5" s="56">
        <v>15</v>
      </c>
      <c r="AQ5" s="62">
        <v>16</v>
      </c>
      <c r="AR5" s="63">
        <v>17</v>
      </c>
      <c r="AS5" s="63">
        <v>18</v>
      </c>
      <c r="AT5" s="64">
        <v>19</v>
      </c>
      <c r="AU5" s="62">
        <v>20</v>
      </c>
      <c r="AV5" s="54">
        <v>21</v>
      </c>
      <c r="AW5" s="63">
        <v>22</v>
      </c>
      <c r="AX5" s="54">
        <v>23</v>
      </c>
      <c r="AY5" s="64">
        <v>24</v>
      </c>
      <c r="AZ5" s="62">
        <v>25</v>
      </c>
      <c r="BA5" s="58">
        <v>26</v>
      </c>
      <c r="BB5" s="58">
        <v>27</v>
      </c>
      <c r="BC5" s="58">
        <v>28</v>
      </c>
      <c r="BD5" s="55">
        <v>29</v>
      </c>
      <c r="BE5" s="65">
        <v>30</v>
      </c>
      <c r="BF5" s="79">
        <v>31</v>
      </c>
      <c r="BG5" s="58">
        <v>32</v>
      </c>
      <c r="BH5" s="58">
        <v>33</v>
      </c>
      <c r="BI5" s="58">
        <v>34</v>
      </c>
      <c r="BJ5" s="81">
        <v>35</v>
      </c>
      <c r="BK5" s="62">
        <v>36</v>
      </c>
      <c r="BL5" s="63">
        <v>37</v>
      </c>
      <c r="BM5" s="63">
        <v>38</v>
      </c>
      <c r="BN5" s="82">
        <v>39</v>
      </c>
      <c r="BO5" s="62">
        <v>40</v>
      </c>
      <c r="BP5" s="82">
        <v>41</v>
      </c>
      <c r="BQ5" s="83">
        <v>42</v>
      </c>
      <c r="BR5" s="84">
        <v>43</v>
      </c>
      <c r="BS5" s="81">
        <v>44</v>
      </c>
      <c r="BT5" s="83">
        <v>45</v>
      </c>
      <c r="BU5" s="85">
        <v>46</v>
      </c>
      <c r="BV5" s="58">
        <v>47</v>
      </c>
      <c r="BW5" s="58">
        <v>48</v>
      </c>
      <c r="BX5" s="58">
        <v>49</v>
      </c>
      <c r="BY5" s="58">
        <v>50</v>
      </c>
    </row>
    <row r="6" spans="1:77" ht="12.75">
      <c r="A6" s="4">
        <v>1</v>
      </c>
      <c r="B6" s="17" t="s">
        <v>8</v>
      </c>
      <c r="C6" s="10">
        <v>0</v>
      </c>
      <c r="D6" s="10">
        <v>3949</v>
      </c>
      <c r="E6" s="192">
        <v>3949</v>
      </c>
      <c r="F6" s="35">
        <f>IF(J$13&lt;0,(-J6/J$13)*($L$6/$E$13),((J6/J$13)*($L$6/$E$13)))</f>
        <v>1.1468000591885563</v>
      </c>
      <c r="G6" s="35">
        <f>IF(K$13&lt;0,(-K6/K$13)*($L$6/$E$13),((K6/K$13)*($L$6/$E$13)))</f>
        <v>0.2621441256573816</v>
      </c>
      <c r="H6" s="6">
        <v>39467</v>
      </c>
      <c r="I6" s="6">
        <v>43057</v>
      </c>
      <c r="J6" s="36">
        <f>(H6*0.4+I6*0.6)/E6</f>
        <v>10.539630286148393</v>
      </c>
      <c r="K6" s="221">
        <v>5.61002786</v>
      </c>
      <c r="L6" s="266">
        <v>5883.9</v>
      </c>
      <c r="M6" s="35">
        <f aca="true" t="shared" si="0" ref="M6:N13">IF(R$13&lt;0,(-R6/R$13)*($T$6/$E$13),((R6/R$13)*($T$6/$E$13)))</f>
        <v>0.00010847625725919239</v>
      </c>
      <c r="N6" s="35">
        <f t="shared" si="0"/>
        <v>2.785076795474019E-06</v>
      </c>
      <c r="O6" s="6">
        <v>2</v>
      </c>
      <c r="P6" s="6">
        <v>0</v>
      </c>
      <c r="Q6" s="6"/>
      <c r="R6" s="36">
        <f aca="true" t="shared" si="1" ref="R6:R13">(O6*0.4+P6*0.6)/E6</f>
        <v>0.00020258293238794632</v>
      </c>
      <c r="S6" s="221">
        <v>0.00025323</v>
      </c>
      <c r="T6" s="269">
        <v>77</v>
      </c>
      <c r="U6" s="35">
        <f aca="true" t="shared" si="2" ref="U6:V13">IF(Y$13&lt;0,(-Y6/Y$13)*($AA$6/$E$13),((Y6/Y$13)*($AA$6/$E$13)))</f>
        <v>0.35110860952825623</v>
      </c>
      <c r="V6" s="35">
        <f t="shared" si="2"/>
        <v>-0.17476277260622797</v>
      </c>
      <c r="W6" s="6">
        <v>1497</v>
      </c>
      <c r="X6" s="6">
        <v>1214</v>
      </c>
      <c r="Y6" s="36">
        <f>(W6*0.4+X6*0.6)/E6</f>
        <v>0.33608508483160293</v>
      </c>
      <c r="Z6" s="225">
        <v>-0.02177767</v>
      </c>
      <c r="AA6" s="271">
        <v>1589.2</v>
      </c>
      <c r="AB6" s="35">
        <f aca="true" t="shared" si="3" ref="AB6:AC13">IF(AF$13&lt;0,(-AF6/AF$13)*($AH$6/$E$13),((AF6/AF$13)*($AH$6/$E$13)))</f>
        <v>0.7277432386061282</v>
      </c>
      <c r="AC6" s="35">
        <f t="shared" si="3"/>
        <v>0.1573873887182738</v>
      </c>
      <c r="AD6" s="6">
        <v>1718</v>
      </c>
      <c r="AE6" s="6">
        <v>2887</v>
      </c>
      <c r="AF6" s="36">
        <f aca="true" t="shared" si="4" ref="AF6:AF13">(AD6*0.4+AE6*0.6)/E6</f>
        <v>0.6126614332742467</v>
      </c>
      <c r="AG6" s="221">
        <v>0.4902507</v>
      </c>
      <c r="AH6" s="271">
        <v>5122.2</v>
      </c>
      <c r="AI6" s="38">
        <f>F6+M6+U6+AB6</f>
        <v>2.2257603835802</v>
      </c>
      <c r="AJ6" s="272">
        <f>BV$6/SUM(E6:E12)</f>
        <v>1.4582623705408515</v>
      </c>
      <c r="AK6" s="37">
        <f>G6+N6+V6+AC6</f>
        <v>0.2447715268462229</v>
      </c>
      <c r="AL6" s="72">
        <v>1</v>
      </c>
      <c r="AM6" s="212">
        <v>0.00078346</v>
      </c>
      <c r="AN6" s="215">
        <f>IF(AM6=0,AL6,AL6*AM6)</f>
        <v>0.00078346</v>
      </c>
      <c r="AO6" s="19">
        <f>+(AI6/$AJ$6)+((AK6-AI6)/$AJ$6)*0.25*AN6</f>
        <v>1.526043887680111</v>
      </c>
      <c r="AP6" s="24">
        <f>AO6/BU6</f>
        <v>1.4572712607484526</v>
      </c>
      <c r="AQ6" s="76">
        <v>0.4902</v>
      </c>
      <c r="AR6" s="77">
        <v>0.2815</v>
      </c>
      <c r="AS6" s="78">
        <v>0.2283</v>
      </c>
      <c r="AT6" s="25">
        <f>+IF(AND(AQ6&gt;0,AR6&gt;0,AS6&gt;0,AQ6+AR6+AS6=1),1,НЕВЕРНО)</f>
        <v>1</v>
      </c>
      <c r="AU6" s="26">
        <v>1.6</v>
      </c>
      <c r="AV6" s="248">
        <f>+SUMPRODUCT(AU6:AU12,E6:E12)/$E$13</f>
        <v>1.6</v>
      </c>
      <c r="AW6" s="126">
        <v>1</v>
      </c>
      <c r="AX6" s="248">
        <f>+SUMPRODUCT(AW6:AW12,E6:E12)/$E$13</f>
        <v>1</v>
      </c>
      <c r="AY6" s="39">
        <f aca="true" t="shared" si="5" ref="AY6:AY13">+(AU6+0.25*C6/E6)/($AV$6+0.25*SUM($C$6:$C$12)/SUM($E$6:$E$12)*(AW6/$AX$6))</f>
        <v>0.9214507016584654</v>
      </c>
      <c r="AZ6" s="48">
        <v>81.19</v>
      </c>
      <c r="BA6" s="8">
        <v>95.3</v>
      </c>
      <c r="BB6" s="168">
        <v>5.6</v>
      </c>
      <c r="BC6" s="8">
        <v>10.1</v>
      </c>
      <c r="BD6" s="40">
        <f>+(AZ6+BB6)/(BA6+BC6)</f>
        <v>0.8234345351043643</v>
      </c>
      <c r="BE6" s="94">
        <v>1.5</v>
      </c>
      <c r="BF6" s="126">
        <v>0</v>
      </c>
      <c r="BG6" s="30">
        <v>0</v>
      </c>
      <c r="BH6" s="20">
        <f>E6</f>
        <v>3949</v>
      </c>
      <c r="BI6" s="20">
        <f>+(1+BF6*BG6/BH6)/(1+BE6*SUM($BG$6:$BG$12)/SUM($BH$6:$BH$12))</f>
        <v>1</v>
      </c>
      <c r="BJ6" s="67">
        <f>+AQ6*BX6+AR6*BI6+AS6*BY6</f>
        <v>0.9211852383173061</v>
      </c>
      <c r="BK6" s="66">
        <v>0.5499</v>
      </c>
      <c r="BL6" s="47">
        <v>0.2561</v>
      </c>
      <c r="BM6" s="46">
        <v>0.194</v>
      </c>
      <c r="BN6" s="31">
        <f>+IF(AND(BK6&gt;0,BL6&gt;0,BM6&gt;0,BK6+BL6+BM6=1),1,НЕВЕРНО)</f>
        <v>1</v>
      </c>
      <c r="BO6" s="32">
        <v>7</v>
      </c>
      <c r="BP6" s="41">
        <f>0.2*SUM($E$6:$E$12)/BO6/E6+0.8</f>
        <v>0.8628730600875448</v>
      </c>
      <c r="BQ6" s="42">
        <f aca="true" t="shared" si="6" ref="BQ6:BQ12">+(1+D6/E6)/(1+SUM($D$6:$D$12)/SUM($E$6:$E$12))</f>
        <v>1.3751087902523933</v>
      </c>
      <c r="BR6" s="32">
        <v>0</v>
      </c>
      <c r="BS6" s="43">
        <f>(1+BR6/BH6)/(1+SUM($BR$6:$BR$12)/SUM($BH$6:$BH$12))</f>
        <v>0.9276259607173356</v>
      </c>
      <c r="BT6" s="44">
        <f>+BK6*BP6+BL6*BQ6+BM6*BS6</f>
        <v>1.006618693304942</v>
      </c>
      <c r="BU6" s="29">
        <f>+BJ6*BT6*SUM($E$6:$E$12)/SUMPRODUCT($BJ$6:$BJ$12,$BT$6:$BT$12,$E$6:$E$12)</f>
        <v>1.0471927422052754</v>
      </c>
      <c r="BV6" s="250">
        <f>L6+T6+AA6+AH6</f>
        <v>12672.3</v>
      </c>
      <c r="BW6" s="71">
        <v>1</v>
      </c>
      <c r="BX6" s="176">
        <f>AY6/BW6</f>
        <v>0.9214507016584654</v>
      </c>
      <c r="BY6" s="176">
        <f>BD6/BW6</f>
        <v>0.8234345351043643</v>
      </c>
    </row>
    <row r="7" spans="1:77" ht="12.75">
      <c r="A7" s="5">
        <v>2</v>
      </c>
      <c r="B7" s="18" t="s">
        <v>9</v>
      </c>
      <c r="C7" s="10">
        <v>525</v>
      </c>
      <c r="D7" s="11"/>
      <c r="E7" s="192">
        <v>525</v>
      </c>
      <c r="F7" s="35">
        <f aca="true" t="shared" si="7" ref="F7:G13">IF(J$13&lt;0,(-J7/J$13)*($L$6/$E$13),((J7/J$13)*($L$6/$E$13)))</f>
        <v>0.40530602070215727</v>
      </c>
      <c r="G7" s="35">
        <f t="shared" si="7"/>
        <v>0.09487963674670262</v>
      </c>
      <c r="H7" s="7">
        <v>2015</v>
      </c>
      <c r="I7" s="7">
        <v>1916</v>
      </c>
      <c r="J7" s="36">
        <f aca="true" t="shared" si="8" ref="J7:J12">(H7*0.4+I7*0.6)/E7</f>
        <v>3.724952380952381</v>
      </c>
      <c r="K7" s="221">
        <v>2.03047619</v>
      </c>
      <c r="L7" s="267"/>
      <c r="M7" s="35">
        <f t="shared" si="0"/>
        <v>0.10403337969401948</v>
      </c>
      <c r="N7" s="35">
        <f t="shared" si="0"/>
        <v>0.007185497362448249</v>
      </c>
      <c r="O7" s="7">
        <v>150</v>
      </c>
      <c r="P7" s="7">
        <v>70</v>
      </c>
      <c r="Q7" s="6"/>
      <c r="R7" s="36">
        <f t="shared" si="1"/>
        <v>0.19428571428571428</v>
      </c>
      <c r="S7" s="221">
        <v>0.65333333</v>
      </c>
      <c r="T7" s="269"/>
      <c r="U7" s="35">
        <f t="shared" si="2"/>
        <v>0.007959630867861214</v>
      </c>
      <c r="V7" s="35">
        <f t="shared" si="2"/>
        <v>0</v>
      </c>
      <c r="W7" s="7">
        <v>19</v>
      </c>
      <c r="X7" s="7">
        <v>-6</v>
      </c>
      <c r="Y7" s="37">
        <f aca="true" t="shared" si="9" ref="Y7:Y13">(W7*0.4+X7*0.6)/E7</f>
        <v>0.007619047619047621</v>
      </c>
      <c r="Z7" s="225">
        <v>0</v>
      </c>
      <c r="AA7" s="271"/>
      <c r="AB7" s="35">
        <f t="shared" si="3"/>
        <v>1.3222346697410003</v>
      </c>
      <c r="AC7" s="35">
        <f t="shared" si="3"/>
        <v>0.10089655600362972</v>
      </c>
      <c r="AD7" s="7">
        <v>558</v>
      </c>
      <c r="AE7" s="7">
        <v>602</v>
      </c>
      <c r="AF7" s="37">
        <f t="shared" si="4"/>
        <v>1.113142857142857</v>
      </c>
      <c r="AG7" s="221">
        <v>0.31428571</v>
      </c>
      <c r="AH7" s="271"/>
      <c r="AI7" s="38">
        <f aca="true" t="shared" si="10" ref="AI7:AI12">F7+M7+U7+AB7</f>
        <v>1.8395337010050383</v>
      </c>
      <c r="AJ7" s="272"/>
      <c r="AK7" s="37">
        <f aca="true" t="shared" si="11" ref="AK7:AK12">G7+N7+V7+AC7</f>
        <v>0.2029616901127806</v>
      </c>
      <c r="AL7" s="73">
        <v>0.8</v>
      </c>
      <c r="AM7" s="213">
        <v>0</v>
      </c>
      <c r="AN7" s="216">
        <f aca="true" t="shared" si="12" ref="AN7:AN12">IF(AM7=0,AL7,AL7*AM7)</f>
        <v>0.8</v>
      </c>
      <c r="AO7" s="19">
        <f aca="true" t="shared" si="13" ref="AO7:AO13">+(AI7/$AJ$6)+((AK7-AI7)/$AJ$6)*0.25*AN7</f>
        <v>1.0370008370069397</v>
      </c>
      <c r="AP7" s="24">
        <f aca="true" t="shared" si="14" ref="AP7:AP12">AO7/BU7</f>
        <v>1.007387420283103</v>
      </c>
      <c r="AQ7" s="76">
        <v>0.4902</v>
      </c>
      <c r="AR7" s="77">
        <v>0.2815</v>
      </c>
      <c r="AS7" s="78">
        <v>0.2283</v>
      </c>
      <c r="AT7" s="25">
        <f aca="true" t="shared" si="15" ref="AT7:AT12">+IF(AND(AQ7&gt;0,AR7&gt;0,AS7&gt;0,AQ7+AR7+AS7=1),1,НЕВЕРНО)</f>
        <v>1</v>
      </c>
      <c r="AU7" s="26">
        <v>1.6</v>
      </c>
      <c r="AV7" s="248"/>
      <c r="AW7" s="127">
        <v>1</v>
      </c>
      <c r="AX7" s="248"/>
      <c r="AY7" s="39">
        <f t="shared" si="5"/>
        <v>1.0654273737926006</v>
      </c>
      <c r="AZ7" s="49">
        <v>24.85</v>
      </c>
      <c r="BA7" s="8">
        <v>95.3</v>
      </c>
      <c r="BB7" s="169">
        <v>0</v>
      </c>
      <c r="BC7" s="8">
        <v>10.1</v>
      </c>
      <c r="BD7" s="40">
        <f aca="true" t="shared" si="16" ref="BD7:BD12">+(AZ7+BB7)/(BA7+BC7)</f>
        <v>0.23576850094876664</v>
      </c>
      <c r="BE7" s="95">
        <v>1.5</v>
      </c>
      <c r="BF7" s="127">
        <v>0</v>
      </c>
      <c r="BG7" s="23">
        <v>0</v>
      </c>
      <c r="BH7" s="20">
        <f aca="true" t="shared" si="17" ref="BH7:BH12">E7</f>
        <v>525</v>
      </c>
      <c r="BI7" s="20">
        <f aca="true" t="shared" si="18" ref="BI7:BI12">+(1+BF7*BG7/BH7)/(1+BE7*SUM($BG$6:$BG$12)/SUM($BH$6:$BH$12))</f>
        <v>1</v>
      </c>
      <c r="BJ7" s="67">
        <f aca="true" t="shared" si="19" ref="BJ7:BJ12">+AQ7*BX7+AR7*BI7+AS7*BY7</f>
        <v>0.8575984473997362</v>
      </c>
      <c r="BK7" s="66">
        <v>0.5499</v>
      </c>
      <c r="BL7" s="47">
        <v>0.2561</v>
      </c>
      <c r="BM7" s="46">
        <v>0.194</v>
      </c>
      <c r="BN7" s="27">
        <f aca="true" t="shared" si="20" ref="BN7:BN12">+IF(AND(BK7&gt;0,BL7&gt;0,BM7&gt;0,BK7+BL7+BM7=1),1,НЕВЕРНО)</f>
        <v>1</v>
      </c>
      <c r="BO7" s="28">
        <v>7</v>
      </c>
      <c r="BP7" s="41">
        <f aca="true" t="shared" si="21" ref="BP7:BP12">0.2*SUM($E$6:$E$12)/BO7/E7+0.8</f>
        <v>1.2729251700680273</v>
      </c>
      <c r="BQ7" s="42">
        <f t="shared" si="6"/>
        <v>0.6875543951261966</v>
      </c>
      <c r="BR7" s="28">
        <v>20</v>
      </c>
      <c r="BS7" s="43">
        <f aca="true" t="shared" si="22" ref="BS7:BS12">(1+BR7/BH7)/(1+SUM($BR$6:$BR$12)/SUM($BH$6:$BH$12))</f>
        <v>0.9629640925541866</v>
      </c>
      <c r="BT7" s="45">
        <f aca="true" t="shared" si="23" ref="BT7:BT12">+BK7*BP7+BL7*BQ7+BM7*BS7</f>
        <v>1.0628792655677395</v>
      </c>
      <c r="BU7" s="29">
        <f aca="true" t="shared" si="24" ref="BU7:BU12">+BJ7*BT7*SUM($E$6:$E$12)/SUMPRODUCT($BJ$6:$BJ$12,$BT$6:$BT$12,$E$6:$E$12)</f>
        <v>1.029396254239024</v>
      </c>
      <c r="BV7" s="250"/>
      <c r="BW7" s="71">
        <v>1</v>
      </c>
      <c r="BX7" s="176">
        <f aca="true" t="shared" si="25" ref="BX7:BX12">AY7/BW7</f>
        <v>1.0654273737926006</v>
      </c>
      <c r="BY7" s="176">
        <f aca="true" t="shared" si="26" ref="BY7:BY12">BD7/BW7</f>
        <v>0.23576850094876664</v>
      </c>
    </row>
    <row r="8" spans="1:77" ht="12.75">
      <c r="A8" s="5">
        <v>3</v>
      </c>
      <c r="B8" s="18" t="s">
        <v>10</v>
      </c>
      <c r="C8" s="10">
        <v>937</v>
      </c>
      <c r="D8" s="11"/>
      <c r="E8" s="192">
        <v>937</v>
      </c>
      <c r="F8" s="35">
        <f t="shared" si="7"/>
        <v>0.29555931652964956</v>
      </c>
      <c r="G8" s="35">
        <f t="shared" si="7"/>
        <v>0.0670246860729688</v>
      </c>
      <c r="H8" s="7">
        <v>2583</v>
      </c>
      <c r="I8" s="7">
        <v>2520</v>
      </c>
      <c r="J8" s="36">
        <f t="shared" si="8"/>
        <v>2.7163287086446104</v>
      </c>
      <c r="K8" s="221">
        <v>1.43436499</v>
      </c>
      <c r="L8" s="267"/>
      <c r="M8" s="35">
        <f t="shared" si="0"/>
        <v>0</v>
      </c>
      <c r="N8" s="35">
        <f t="shared" si="0"/>
        <v>0</v>
      </c>
      <c r="O8" s="7">
        <v>0</v>
      </c>
      <c r="P8" s="7">
        <v>0</v>
      </c>
      <c r="Q8" s="6"/>
      <c r="R8" s="36">
        <f t="shared" si="1"/>
        <v>0</v>
      </c>
      <c r="S8" s="221">
        <v>0</v>
      </c>
      <c r="T8" s="269"/>
      <c r="U8" s="35">
        <f t="shared" si="2"/>
        <v>0.06957244056326929</v>
      </c>
      <c r="V8" s="35">
        <f t="shared" si="2"/>
        <v>0</v>
      </c>
      <c r="W8" s="7">
        <v>66</v>
      </c>
      <c r="X8" s="7">
        <v>60</v>
      </c>
      <c r="Y8" s="37">
        <f t="shared" si="9"/>
        <v>0.06659551760939168</v>
      </c>
      <c r="Z8" s="225">
        <v>0</v>
      </c>
      <c r="AA8" s="271"/>
      <c r="AB8" s="35">
        <f t="shared" si="3"/>
        <v>0.40313004373632627</v>
      </c>
      <c r="AC8" s="35">
        <f t="shared" si="3"/>
        <v>0.07434843781558088</v>
      </c>
      <c r="AD8" s="7">
        <v>225</v>
      </c>
      <c r="AE8" s="7">
        <v>380</v>
      </c>
      <c r="AF8" s="37">
        <f t="shared" si="4"/>
        <v>0.33938100320170755</v>
      </c>
      <c r="AG8" s="221">
        <v>0.23159018</v>
      </c>
      <c r="AH8" s="271"/>
      <c r="AI8" s="38">
        <f t="shared" si="10"/>
        <v>0.7682618008292451</v>
      </c>
      <c r="AJ8" s="272"/>
      <c r="AK8" s="37">
        <f t="shared" si="11"/>
        <v>0.14137312388854967</v>
      </c>
      <c r="AL8" s="73">
        <v>0.8</v>
      </c>
      <c r="AM8" s="213">
        <v>1.87E-06</v>
      </c>
      <c r="AN8" s="216">
        <f>IF(AM8=0,AL8,AL8*AM8)</f>
        <v>1.4960000000000002E-06</v>
      </c>
      <c r="AO8" s="19">
        <f t="shared" si="13"/>
        <v>0.5268335670541517</v>
      </c>
      <c r="AP8" s="24">
        <f t="shared" si="14"/>
        <v>0.5707931659376831</v>
      </c>
      <c r="AQ8" s="76">
        <v>0.4902</v>
      </c>
      <c r="AR8" s="77">
        <v>0.2815</v>
      </c>
      <c r="AS8" s="78">
        <v>0.2283</v>
      </c>
      <c r="AT8" s="25">
        <f t="shared" si="15"/>
        <v>1</v>
      </c>
      <c r="AU8" s="26">
        <v>1.6</v>
      </c>
      <c r="AV8" s="248"/>
      <c r="AW8" s="127">
        <v>1</v>
      </c>
      <c r="AX8" s="248"/>
      <c r="AY8" s="39">
        <f t="shared" si="5"/>
        <v>1.0654273737926006</v>
      </c>
      <c r="AZ8" s="49">
        <v>20.51</v>
      </c>
      <c r="BA8" s="8">
        <v>95.3</v>
      </c>
      <c r="BB8" s="169">
        <v>0</v>
      </c>
      <c r="BC8" s="8">
        <v>10.1</v>
      </c>
      <c r="BD8" s="40">
        <f t="shared" si="16"/>
        <v>0.19459203036053133</v>
      </c>
      <c r="BE8" s="95">
        <v>1.5</v>
      </c>
      <c r="BF8" s="127">
        <v>0</v>
      </c>
      <c r="BG8" s="23">
        <v>0</v>
      </c>
      <c r="BH8" s="20">
        <f t="shared" si="17"/>
        <v>937</v>
      </c>
      <c r="BI8" s="20">
        <f t="shared" si="18"/>
        <v>1</v>
      </c>
      <c r="BJ8" s="67">
        <f t="shared" si="19"/>
        <v>0.8481978591644421</v>
      </c>
      <c r="BK8" s="66">
        <v>0.5499</v>
      </c>
      <c r="BL8" s="47">
        <v>0.2561</v>
      </c>
      <c r="BM8" s="46">
        <v>0.194</v>
      </c>
      <c r="BN8" s="27">
        <f t="shared" si="20"/>
        <v>1</v>
      </c>
      <c r="BO8" s="28">
        <v>7</v>
      </c>
      <c r="BP8" s="41">
        <f t="shared" si="21"/>
        <v>1.0649794175941456</v>
      </c>
      <c r="BQ8" s="42">
        <f t="shared" si="6"/>
        <v>0.6875543951261966</v>
      </c>
      <c r="BR8" s="28">
        <v>114</v>
      </c>
      <c r="BS8" s="43">
        <f t="shared" si="22"/>
        <v>1.040485469278463</v>
      </c>
      <c r="BT8" s="45">
        <f t="shared" si="23"/>
        <v>0.9635690433668616</v>
      </c>
      <c r="BU8" s="29">
        <f t="shared" si="24"/>
        <v>0.9229850644562013</v>
      </c>
      <c r="BV8" s="250"/>
      <c r="BW8" s="71">
        <v>1</v>
      </c>
      <c r="BX8" s="176">
        <f t="shared" si="25"/>
        <v>1.0654273737926006</v>
      </c>
      <c r="BY8" s="176">
        <f t="shared" si="26"/>
        <v>0.19459203036053133</v>
      </c>
    </row>
    <row r="9" spans="1:77" ht="12.75">
      <c r="A9" s="5">
        <v>4</v>
      </c>
      <c r="B9" s="18" t="s">
        <v>11</v>
      </c>
      <c r="C9" s="10">
        <v>919</v>
      </c>
      <c r="D9" s="11"/>
      <c r="E9" s="192">
        <v>919</v>
      </c>
      <c r="F9" s="35">
        <f t="shared" si="7"/>
        <v>0.26066650866225943</v>
      </c>
      <c r="G9" s="35">
        <f t="shared" si="7"/>
        <v>0.057405505148998615</v>
      </c>
      <c r="H9" s="7">
        <v>2120</v>
      </c>
      <c r="I9" s="7">
        <v>2256</v>
      </c>
      <c r="J9" s="36">
        <f t="shared" si="8"/>
        <v>2.3956474428726877</v>
      </c>
      <c r="K9" s="221">
        <v>1.22850925</v>
      </c>
      <c r="L9" s="267"/>
      <c r="M9" s="35">
        <f t="shared" si="0"/>
        <v>0.005710082768202119</v>
      </c>
      <c r="N9" s="35">
        <f t="shared" si="0"/>
        <v>0.0002034489635552373</v>
      </c>
      <c r="O9" s="7">
        <v>2</v>
      </c>
      <c r="P9" s="7">
        <v>15</v>
      </c>
      <c r="Q9" s="6"/>
      <c r="R9" s="36">
        <f t="shared" si="1"/>
        <v>0.010663764961915127</v>
      </c>
      <c r="S9" s="221">
        <v>0.01849837</v>
      </c>
      <c r="T9" s="269"/>
      <c r="U9" s="35">
        <f t="shared" si="2"/>
        <v>0.061386162977112455</v>
      </c>
      <c r="V9" s="35">
        <f t="shared" si="2"/>
        <v>0</v>
      </c>
      <c r="W9" s="7">
        <v>60</v>
      </c>
      <c r="X9" s="7">
        <v>50</v>
      </c>
      <c r="Y9" s="37">
        <f t="shared" si="9"/>
        <v>0.058759521218716</v>
      </c>
      <c r="Z9" s="225">
        <v>0</v>
      </c>
      <c r="AA9" s="271"/>
      <c r="AB9" s="35">
        <f t="shared" si="3"/>
        <v>0.32623569366343197</v>
      </c>
      <c r="AC9" s="35">
        <f t="shared" si="3"/>
        <v>0.05065288773569724</v>
      </c>
      <c r="AD9" s="7">
        <v>172</v>
      </c>
      <c r="AE9" s="7">
        <v>306</v>
      </c>
      <c r="AF9" s="37">
        <f t="shared" si="4"/>
        <v>0.2746463547334059</v>
      </c>
      <c r="AG9" s="221">
        <v>0.1577802</v>
      </c>
      <c r="AH9" s="271"/>
      <c r="AI9" s="38">
        <f t="shared" si="10"/>
        <v>0.6539984480710059</v>
      </c>
      <c r="AJ9" s="272"/>
      <c r="AK9" s="37">
        <f t="shared" si="11"/>
        <v>0.10826184184825109</v>
      </c>
      <c r="AL9" s="73">
        <v>0.8</v>
      </c>
      <c r="AM9" s="213">
        <v>0</v>
      </c>
      <c r="AN9" s="216">
        <f>IF(AM9=0,AL9,AL9*AM9)</f>
        <v>0.8</v>
      </c>
      <c r="AO9" s="19">
        <f t="shared" si="13"/>
        <v>0.37363038218175815</v>
      </c>
      <c r="AP9" s="24">
        <f t="shared" si="14"/>
        <v>0.3969388467761205</v>
      </c>
      <c r="AQ9" s="76">
        <v>0.4902</v>
      </c>
      <c r="AR9" s="77">
        <v>0.2815</v>
      </c>
      <c r="AS9" s="78">
        <v>0.2283</v>
      </c>
      <c r="AT9" s="25">
        <f t="shared" si="15"/>
        <v>1</v>
      </c>
      <c r="AU9" s="26">
        <v>1.6</v>
      </c>
      <c r="AV9" s="248"/>
      <c r="AW9" s="127">
        <v>1</v>
      </c>
      <c r="AX9" s="248"/>
      <c r="AY9" s="39">
        <f t="shared" si="5"/>
        <v>1.0654273737926006</v>
      </c>
      <c r="AZ9" s="49">
        <v>20.18</v>
      </c>
      <c r="BA9" s="8">
        <v>95.3</v>
      </c>
      <c r="BB9" s="169">
        <v>0</v>
      </c>
      <c r="BC9" s="8">
        <v>10.1</v>
      </c>
      <c r="BD9" s="40">
        <f t="shared" si="16"/>
        <v>0.19146110056925997</v>
      </c>
      <c r="BE9" s="95">
        <v>1.5</v>
      </c>
      <c r="BF9" s="127">
        <v>0</v>
      </c>
      <c r="BG9" s="23">
        <v>0</v>
      </c>
      <c r="BH9" s="20">
        <f t="shared" si="17"/>
        <v>919</v>
      </c>
      <c r="BI9" s="20">
        <f t="shared" si="18"/>
        <v>1</v>
      </c>
      <c r="BJ9" s="67">
        <f t="shared" si="19"/>
        <v>0.8474830678930949</v>
      </c>
      <c r="BK9" s="66">
        <v>0.5499</v>
      </c>
      <c r="BL9" s="47">
        <v>0.2561</v>
      </c>
      <c r="BM9" s="46">
        <v>0.194</v>
      </c>
      <c r="BN9" s="27">
        <f t="shared" si="20"/>
        <v>1</v>
      </c>
      <c r="BO9" s="28">
        <v>7</v>
      </c>
      <c r="BP9" s="41">
        <f t="shared" si="21"/>
        <v>1.0701694388310274</v>
      </c>
      <c r="BQ9" s="42">
        <f t="shared" si="6"/>
        <v>0.6875543951261966</v>
      </c>
      <c r="BR9" s="28">
        <v>199</v>
      </c>
      <c r="BS9" s="43">
        <f t="shared" si="22"/>
        <v>1.1284938238106432</v>
      </c>
      <c r="BT9" s="45">
        <f t="shared" si="23"/>
        <v>0.9834966568242658</v>
      </c>
      <c r="BU9" s="29">
        <f t="shared" si="24"/>
        <v>0.9412794570658167</v>
      </c>
      <c r="BV9" s="250"/>
      <c r="BW9" s="71">
        <v>1</v>
      </c>
      <c r="BX9" s="176">
        <f t="shared" si="25"/>
        <v>1.0654273737926006</v>
      </c>
      <c r="BY9" s="176">
        <f t="shared" si="26"/>
        <v>0.19146110056925997</v>
      </c>
    </row>
    <row r="10" spans="1:77" ht="12.75">
      <c r="A10" s="5">
        <v>5</v>
      </c>
      <c r="B10" s="18" t="s">
        <v>12</v>
      </c>
      <c r="C10" s="10">
        <v>989</v>
      </c>
      <c r="D10" s="11"/>
      <c r="E10" s="192">
        <v>989</v>
      </c>
      <c r="F10" s="35">
        <f t="shared" si="7"/>
        <v>0.21748473048342198</v>
      </c>
      <c r="G10" s="35">
        <f t="shared" si="7"/>
        <v>0.06132725291253221</v>
      </c>
      <c r="H10" s="7">
        <v>2080</v>
      </c>
      <c r="I10" s="7">
        <v>1908</v>
      </c>
      <c r="J10" s="36">
        <f t="shared" si="8"/>
        <v>1.9987866531850353</v>
      </c>
      <c r="K10" s="221">
        <v>1.3124368</v>
      </c>
      <c r="L10" s="267"/>
      <c r="M10" s="35">
        <f t="shared" si="0"/>
        <v>0</v>
      </c>
      <c r="N10" s="35">
        <f t="shared" si="0"/>
        <v>0</v>
      </c>
      <c r="O10" s="7">
        <v>0</v>
      </c>
      <c r="P10" s="7">
        <v>0</v>
      </c>
      <c r="Q10" s="6"/>
      <c r="R10" s="36">
        <f t="shared" si="1"/>
        <v>0</v>
      </c>
      <c r="S10" s="221">
        <v>0</v>
      </c>
      <c r="T10" s="269"/>
      <c r="U10" s="35">
        <f t="shared" si="2"/>
        <v>0.015844816249850114</v>
      </c>
      <c r="V10" s="35">
        <f t="shared" si="2"/>
        <v>-0.008114097359249598</v>
      </c>
      <c r="W10" s="7">
        <v>12</v>
      </c>
      <c r="X10" s="7">
        <v>17</v>
      </c>
      <c r="Y10" s="37">
        <f t="shared" si="9"/>
        <v>0.015166835187057633</v>
      </c>
      <c r="Z10" s="225">
        <v>-0.00101112</v>
      </c>
      <c r="AA10" s="271"/>
      <c r="AB10" s="35">
        <f t="shared" si="3"/>
        <v>0.15325407083315098</v>
      </c>
      <c r="AC10" s="35">
        <f t="shared" si="3"/>
        <v>0.024994596925110326</v>
      </c>
      <c r="AD10" s="7">
        <v>91</v>
      </c>
      <c r="AE10" s="7">
        <v>152</v>
      </c>
      <c r="AF10" s="37">
        <f t="shared" si="4"/>
        <v>0.12901921132457025</v>
      </c>
      <c r="AG10" s="221">
        <v>0.07785642</v>
      </c>
      <c r="AH10" s="271"/>
      <c r="AI10" s="38">
        <f t="shared" si="10"/>
        <v>0.3865836175664231</v>
      </c>
      <c r="AJ10" s="272"/>
      <c r="AK10" s="37">
        <f t="shared" si="11"/>
        <v>0.07820775247839294</v>
      </c>
      <c r="AL10" s="73">
        <v>0.8</v>
      </c>
      <c r="AM10" s="213">
        <v>5E-08</v>
      </c>
      <c r="AN10" s="216">
        <f>IF(AM10=0,AL10,AL10*AM10)</f>
        <v>4E-08</v>
      </c>
      <c r="AO10" s="19">
        <f t="shared" si="13"/>
        <v>0.2650988068349356</v>
      </c>
      <c r="AP10" s="24">
        <f t="shared" si="14"/>
        <v>0.2888143290173768</v>
      </c>
      <c r="AQ10" s="76">
        <v>0.4902</v>
      </c>
      <c r="AR10" s="77">
        <v>0.2815</v>
      </c>
      <c r="AS10" s="78">
        <v>0.2283</v>
      </c>
      <c r="AT10" s="25">
        <f t="shared" si="15"/>
        <v>1</v>
      </c>
      <c r="AU10" s="26">
        <v>1.6</v>
      </c>
      <c r="AV10" s="248"/>
      <c r="AW10" s="127">
        <v>1</v>
      </c>
      <c r="AX10" s="248"/>
      <c r="AY10" s="39">
        <f t="shared" si="5"/>
        <v>1.0654273737926006</v>
      </c>
      <c r="AZ10" s="49">
        <v>30.67</v>
      </c>
      <c r="BA10" s="8">
        <v>95.3</v>
      </c>
      <c r="BB10" s="169">
        <v>0</v>
      </c>
      <c r="BC10" s="8">
        <v>10.1</v>
      </c>
      <c r="BD10" s="40">
        <f t="shared" si="16"/>
        <v>0.2909867172675522</v>
      </c>
      <c r="BE10" s="95">
        <v>1.5</v>
      </c>
      <c r="BF10" s="127">
        <v>0</v>
      </c>
      <c r="BG10" s="23">
        <v>0</v>
      </c>
      <c r="BH10" s="20">
        <f t="shared" si="17"/>
        <v>989</v>
      </c>
      <c r="BI10" s="20">
        <f t="shared" si="18"/>
        <v>1</v>
      </c>
      <c r="BJ10" s="67">
        <f>+AQ10*BX10+AR10*BI10+AS10*BY10</f>
        <v>0.870204766185315</v>
      </c>
      <c r="BK10" s="66">
        <v>0.5499</v>
      </c>
      <c r="BL10" s="47">
        <v>0.2561</v>
      </c>
      <c r="BM10" s="46">
        <v>0.194</v>
      </c>
      <c r="BN10" s="27">
        <f t="shared" si="20"/>
        <v>1</v>
      </c>
      <c r="BO10" s="28">
        <v>7</v>
      </c>
      <c r="BP10" s="41">
        <f t="shared" si="21"/>
        <v>1.051047233858154</v>
      </c>
      <c r="BQ10" s="42">
        <f t="shared" si="6"/>
        <v>0.6875543951261966</v>
      </c>
      <c r="BR10" s="28">
        <v>0</v>
      </c>
      <c r="BS10" s="43">
        <f t="shared" si="22"/>
        <v>0.9276259607173356</v>
      </c>
      <c r="BT10" s="45">
        <f t="shared" si="23"/>
        <v>0.934012990869581</v>
      </c>
      <c r="BU10" s="29">
        <f t="shared" si="24"/>
        <v>0.917886615033514</v>
      </c>
      <c r="BV10" s="250"/>
      <c r="BW10" s="71">
        <v>1</v>
      </c>
      <c r="BX10" s="176">
        <f t="shared" si="25"/>
        <v>1.0654273737926006</v>
      </c>
      <c r="BY10" s="176">
        <f t="shared" si="26"/>
        <v>0.2909867172675522</v>
      </c>
    </row>
    <row r="11" spans="1:77" ht="12.75">
      <c r="A11" s="5">
        <v>6</v>
      </c>
      <c r="B11" s="18" t="s">
        <v>13</v>
      </c>
      <c r="C11" s="10">
        <v>846</v>
      </c>
      <c r="D11" s="11"/>
      <c r="E11" s="192">
        <v>846</v>
      </c>
      <c r="F11" s="35">
        <f t="shared" si="7"/>
        <v>0.27459324301776655</v>
      </c>
      <c r="G11" s="35">
        <f t="shared" si="7"/>
        <v>0.07031259912333428</v>
      </c>
      <c r="H11" s="7">
        <v>2291</v>
      </c>
      <c r="I11" s="7">
        <v>2031</v>
      </c>
      <c r="J11" s="36">
        <f t="shared" si="8"/>
        <v>2.523640661938534</v>
      </c>
      <c r="K11" s="221">
        <v>1.50472813</v>
      </c>
      <c r="L11" s="267"/>
      <c r="M11" s="35">
        <f t="shared" si="0"/>
        <v>0.01974767949969915</v>
      </c>
      <c r="N11" s="35">
        <f t="shared" si="0"/>
        <v>0.0014690280908719263</v>
      </c>
      <c r="O11" s="7">
        <v>78</v>
      </c>
      <c r="P11" s="7">
        <v>0</v>
      </c>
      <c r="Q11" s="6"/>
      <c r="R11" s="36">
        <f t="shared" si="1"/>
        <v>0.03687943262411348</v>
      </c>
      <c r="S11" s="221">
        <v>0.13356974</v>
      </c>
      <c r="T11" s="269"/>
      <c r="U11" s="35">
        <f t="shared" si="2"/>
        <v>0.03630523121910101</v>
      </c>
      <c r="V11" s="35">
        <f t="shared" si="2"/>
        <v>0</v>
      </c>
      <c r="W11" s="7">
        <v>30</v>
      </c>
      <c r="X11" s="7">
        <v>29</v>
      </c>
      <c r="Y11" s="37">
        <f t="shared" si="9"/>
        <v>0.03475177304964539</v>
      </c>
      <c r="Z11" s="225">
        <v>0</v>
      </c>
      <c r="AA11" s="271"/>
      <c r="AB11" s="35">
        <f t="shared" si="3"/>
        <v>0.5540441255076722</v>
      </c>
      <c r="AC11" s="35">
        <f t="shared" si="3"/>
        <v>0.07475626078326736</v>
      </c>
      <c r="AD11" s="7">
        <v>382</v>
      </c>
      <c r="AE11" s="7">
        <v>403</v>
      </c>
      <c r="AF11" s="37">
        <f t="shared" si="4"/>
        <v>0.46643026004728133</v>
      </c>
      <c r="AG11" s="221">
        <v>0.23286052</v>
      </c>
      <c r="AH11" s="271"/>
      <c r="AI11" s="38">
        <f t="shared" si="10"/>
        <v>0.8846902792442389</v>
      </c>
      <c r="AJ11" s="272"/>
      <c r="AK11" s="37">
        <f t="shared" si="11"/>
        <v>0.14653788799747358</v>
      </c>
      <c r="AL11" s="73">
        <v>0.8</v>
      </c>
      <c r="AM11" s="213">
        <v>7.7E-07</v>
      </c>
      <c r="AN11" s="216">
        <f t="shared" si="12"/>
        <v>6.160000000000001E-07</v>
      </c>
      <c r="AO11" s="19">
        <f t="shared" si="13"/>
        <v>0.6066742058499733</v>
      </c>
      <c r="AP11" s="24">
        <f t="shared" si="14"/>
        <v>0.6039001105082843</v>
      </c>
      <c r="AQ11" s="76">
        <v>0.4902</v>
      </c>
      <c r="AR11" s="77">
        <v>0.2815</v>
      </c>
      <c r="AS11" s="78">
        <v>0.2283</v>
      </c>
      <c r="AT11" s="25">
        <f t="shared" si="15"/>
        <v>1</v>
      </c>
      <c r="AU11" s="26">
        <v>1.6</v>
      </c>
      <c r="AV11" s="248"/>
      <c r="AW11" s="127">
        <v>1</v>
      </c>
      <c r="AX11" s="248"/>
      <c r="AY11" s="39">
        <f t="shared" si="5"/>
        <v>1.0654273737926006</v>
      </c>
      <c r="AZ11" s="49">
        <v>27.36</v>
      </c>
      <c r="BA11" s="8">
        <v>95.3</v>
      </c>
      <c r="BB11" s="169">
        <v>0</v>
      </c>
      <c r="BC11" s="8">
        <v>10.1</v>
      </c>
      <c r="BD11" s="40">
        <f t="shared" si="16"/>
        <v>0.25958254269449715</v>
      </c>
      <c r="BE11" s="95">
        <v>1.5</v>
      </c>
      <c r="BF11" s="127">
        <v>0</v>
      </c>
      <c r="BG11" s="23">
        <v>0</v>
      </c>
      <c r="BH11" s="20">
        <f t="shared" si="17"/>
        <v>846</v>
      </c>
      <c r="BI11" s="20">
        <f t="shared" si="18"/>
        <v>1</v>
      </c>
      <c r="BJ11" s="67">
        <f t="shared" si="19"/>
        <v>0.8630351931302865</v>
      </c>
      <c r="BK11" s="66">
        <v>0.5499</v>
      </c>
      <c r="BL11" s="47">
        <v>0.2561</v>
      </c>
      <c r="BM11" s="46">
        <v>0.194</v>
      </c>
      <c r="BN11" s="27">
        <f t="shared" si="20"/>
        <v>1</v>
      </c>
      <c r="BO11" s="28">
        <v>7</v>
      </c>
      <c r="BP11" s="41">
        <f t="shared" si="21"/>
        <v>1.0934819317798041</v>
      </c>
      <c r="BQ11" s="42">
        <f t="shared" si="6"/>
        <v>0.6875543951261966</v>
      </c>
      <c r="BR11" s="28">
        <v>345</v>
      </c>
      <c r="BS11" s="43">
        <f t="shared" si="22"/>
        <v>1.3059131432793696</v>
      </c>
      <c r="BT11" s="45">
        <f t="shared" si="23"/>
        <v>1.030735544673731</v>
      </c>
      <c r="BU11" s="29">
        <f t="shared" si="24"/>
        <v>1.0045936327770402</v>
      </c>
      <c r="BV11" s="250"/>
      <c r="BW11" s="71">
        <v>1</v>
      </c>
      <c r="BX11" s="176">
        <f t="shared" si="25"/>
        <v>1.0654273737926006</v>
      </c>
      <c r="BY11" s="176">
        <f t="shared" si="26"/>
        <v>0.25958254269449715</v>
      </c>
    </row>
    <row r="12" spans="1:77" ht="13.5" thickBot="1">
      <c r="A12" s="5">
        <v>7</v>
      </c>
      <c r="B12" s="18" t="s">
        <v>14</v>
      </c>
      <c r="C12" s="10">
        <v>525</v>
      </c>
      <c r="D12" s="11"/>
      <c r="E12" s="192">
        <v>525</v>
      </c>
      <c r="F12" s="86">
        <f t="shared" si="7"/>
        <v>0.3400209948680503</v>
      </c>
      <c r="G12" s="35">
        <f t="shared" si="7"/>
        <v>0.06399480193301857</v>
      </c>
      <c r="H12" s="7">
        <v>1709</v>
      </c>
      <c r="I12" s="7">
        <v>1595</v>
      </c>
      <c r="J12" s="36">
        <f t="shared" si="8"/>
        <v>3.1249523809523807</v>
      </c>
      <c r="K12" s="221">
        <v>1.36952381</v>
      </c>
      <c r="L12" s="267"/>
      <c r="M12" s="86">
        <f t="shared" si="0"/>
        <v>0</v>
      </c>
      <c r="N12" s="86">
        <f t="shared" si="0"/>
        <v>0</v>
      </c>
      <c r="O12" s="7">
        <v>0</v>
      </c>
      <c r="P12" s="7">
        <v>0</v>
      </c>
      <c r="Q12" s="6"/>
      <c r="R12" s="36">
        <f t="shared" si="1"/>
        <v>0</v>
      </c>
      <c r="S12" s="223">
        <v>0</v>
      </c>
      <c r="T12" s="269"/>
      <c r="U12" s="86">
        <f t="shared" si="2"/>
        <v>0.05810530533538686</v>
      </c>
      <c r="V12" s="86">
        <f t="shared" si="2"/>
        <v>0</v>
      </c>
      <c r="W12" s="7">
        <v>34</v>
      </c>
      <c r="X12" s="7">
        <v>26</v>
      </c>
      <c r="Y12" s="37">
        <f t="shared" si="9"/>
        <v>0.055619047619047624</v>
      </c>
      <c r="Z12" s="225">
        <v>0</v>
      </c>
      <c r="AA12" s="271"/>
      <c r="AB12" s="86">
        <f t="shared" si="3"/>
        <v>0.48825845607479107</v>
      </c>
      <c r="AC12" s="86">
        <f t="shared" si="3"/>
        <v>0.10640000550520706</v>
      </c>
      <c r="AD12" s="7">
        <v>181</v>
      </c>
      <c r="AE12" s="7">
        <v>239</v>
      </c>
      <c r="AF12" s="37">
        <f t="shared" si="4"/>
        <v>0.41104761904761905</v>
      </c>
      <c r="AG12" s="223">
        <v>0.33142857</v>
      </c>
      <c r="AH12" s="271"/>
      <c r="AI12" s="38">
        <f t="shared" si="10"/>
        <v>0.8863847562782283</v>
      </c>
      <c r="AJ12" s="272"/>
      <c r="AK12" s="37">
        <f t="shared" si="11"/>
        <v>0.17039480743822563</v>
      </c>
      <c r="AL12" s="73">
        <v>0.8</v>
      </c>
      <c r="AM12" s="213">
        <v>7E-08</v>
      </c>
      <c r="AN12" s="216">
        <f t="shared" si="12"/>
        <v>5.6000000000000005E-08</v>
      </c>
      <c r="AO12" s="19">
        <f t="shared" si="13"/>
        <v>0.6078362605801999</v>
      </c>
      <c r="AP12" s="147">
        <f t="shared" si="14"/>
        <v>0.6059273867367041</v>
      </c>
      <c r="AQ12" s="76">
        <v>0.4902</v>
      </c>
      <c r="AR12" s="77">
        <v>0.2815</v>
      </c>
      <c r="AS12" s="78">
        <v>0.2283</v>
      </c>
      <c r="AT12" s="150">
        <f t="shared" si="15"/>
        <v>1</v>
      </c>
      <c r="AU12" s="107">
        <v>1.6</v>
      </c>
      <c r="AV12" s="248"/>
      <c r="AW12" s="127">
        <v>1</v>
      </c>
      <c r="AX12" s="248"/>
      <c r="AY12" s="39">
        <f t="shared" si="5"/>
        <v>1.0654273737926006</v>
      </c>
      <c r="AZ12" s="49">
        <v>17.26</v>
      </c>
      <c r="BA12" s="8">
        <v>95.3</v>
      </c>
      <c r="BB12" s="169">
        <v>0</v>
      </c>
      <c r="BC12" s="8">
        <v>10.1</v>
      </c>
      <c r="BD12" s="40">
        <f t="shared" si="16"/>
        <v>0.16375711574952564</v>
      </c>
      <c r="BE12" s="95">
        <v>1.5</v>
      </c>
      <c r="BF12" s="127">
        <v>0</v>
      </c>
      <c r="BG12" s="23">
        <v>0</v>
      </c>
      <c r="BH12" s="20">
        <f t="shared" si="17"/>
        <v>525</v>
      </c>
      <c r="BI12" s="69">
        <f t="shared" si="18"/>
        <v>1</v>
      </c>
      <c r="BJ12" s="67">
        <f t="shared" si="19"/>
        <v>0.8411582481587495</v>
      </c>
      <c r="BK12" s="66">
        <v>0.5499</v>
      </c>
      <c r="BL12" s="47">
        <v>0.2561</v>
      </c>
      <c r="BM12" s="46">
        <v>0.194</v>
      </c>
      <c r="BN12" s="27">
        <f t="shared" si="20"/>
        <v>1</v>
      </c>
      <c r="BO12" s="70">
        <v>7</v>
      </c>
      <c r="BP12" s="41">
        <f t="shared" si="21"/>
        <v>1.2729251700680273</v>
      </c>
      <c r="BQ12" s="42">
        <f t="shared" si="6"/>
        <v>0.6875543951261966</v>
      </c>
      <c r="BR12" s="28">
        <v>0</v>
      </c>
      <c r="BS12" s="43">
        <f t="shared" si="22"/>
        <v>0.9276259607173356</v>
      </c>
      <c r="BT12" s="45">
        <f t="shared" si="23"/>
        <v>1.0560236679913904</v>
      </c>
      <c r="BU12" s="29">
        <f t="shared" si="24"/>
        <v>1.0031503343226922</v>
      </c>
      <c r="BV12" s="250"/>
      <c r="BW12" s="71">
        <v>1</v>
      </c>
      <c r="BX12" s="176">
        <f t="shared" si="25"/>
        <v>1.0654273737926006</v>
      </c>
      <c r="BY12" s="176">
        <f t="shared" si="26"/>
        <v>0.16375711574952564</v>
      </c>
    </row>
    <row r="13" spans="1:77" ht="13.5" thickBot="1">
      <c r="A13" s="12"/>
      <c r="B13" s="14"/>
      <c r="C13" s="12">
        <f>SUM(C7:C12)</f>
        <v>4741</v>
      </c>
      <c r="D13" s="13">
        <f>SUM(D6:D12)</f>
        <v>3949</v>
      </c>
      <c r="E13" s="16">
        <f>SUM(E6:E12)</f>
        <v>8690</v>
      </c>
      <c r="F13" s="75">
        <f t="shared" si="7"/>
        <v>0.6770886075949367</v>
      </c>
      <c r="G13" s="93">
        <f t="shared" si="7"/>
        <v>0.6770886075949367</v>
      </c>
      <c r="H13" s="15">
        <f>SUM(H6:H12)</f>
        <v>52265</v>
      </c>
      <c r="I13" s="13">
        <f>SUM(I6:I12)</f>
        <v>55283</v>
      </c>
      <c r="J13" s="90">
        <f>(H13*0.4+I13*0.6)/E13</f>
        <v>6.222761795166858</v>
      </c>
      <c r="K13" s="222">
        <f>SUM(K6:K12)</f>
        <v>14.49006703</v>
      </c>
      <c r="L13" s="268"/>
      <c r="M13" s="91">
        <f t="shared" si="0"/>
        <v>0.008860759493670886</v>
      </c>
      <c r="N13" s="92">
        <f t="shared" si="0"/>
        <v>0.008860759493670886</v>
      </c>
      <c r="O13" s="15">
        <f>SUM(O6:O12)</f>
        <v>232</v>
      </c>
      <c r="P13" s="13">
        <f>SUM(P6:P12)</f>
        <v>85</v>
      </c>
      <c r="Q13" s="232"/>
      <c r="R13" s="87">
        <f t="shared" si="1"/>
        <v>0.016547756041426928</v>
      </c>
      <c r="S13" s="224">
        <f>SUM(S6:S12)</f>
        <v>0.80565467</v>
      </c>
      <c r="T13" s="270"/>
      <c r="U13" s="75">
        <f t="shared" si="2"/>
        <v>0.18287686996547756</v>
      </c>
      <c r="V13" s="93">
        <f t="shared" si="2"/>
        <v>-0.18287686996547756</v>
      </c>
      <c r="W13" s="15">
        <f>SUM(W6:W12)</f>
        <v>1718</v>
      </c>
      <c r="X13" s="13">
        <f>SUM(X6:X12)</f>
        <v>1390</v>
      </c>
      <c r="Y13" s="87">
        <f t="shared" si="9"/>
        <v>0.1750517836593786</v>
      </c>
      <c r="Z13" s="226">
        <f>SUM(Z6:Z12)</f>
        <v>-0.02278879</v>
      </c>
      <c r="AA13" s="268"/>
      <c r="AB13" s="91">
        <f t="shared" si="3"/>
        <v>0.5894361334867664</v>
      </c>
      <c r="AC13" s="92">
        <f t="shared" si="3"/>
        <v>0.5894361334867664</v>
      </c>
      <c r="AD13" s="15">
        <f>SUM(AD6:AD12)</f>
        <v>3327</v>
      </c>
      <c r="AE13" s="13">
        <f>SUM(AE6:AE12)</f>
        <v>4969</v>
      </c>
      <c r="AF13" s="87">
        <f t="shared" si="4"/>
        <v>0.4962255466052935</v>
      </c>
      <c r="AG13" s="224">
        <f>SUM(AG6:AG12)</f>
        <v>1.8360523</v>
      </c>
      <c r="AH13" s="268"/>
      <c r="AI13" s="74">
        <f>F13+M13+U13+AB13</f>
        <v>1.4582623705408517</v>
      </c>
      <c r="AJ13" s="273"/>
      <c r="AK13" s="37">
        <f>G13+N13+V13+AC13</f>
        <v>1.0925086306098963</v>
      </c>
      <c r="AL13" s="15">
        <v>1</v>
      </c>
      <c r="AM13" s="214">
        <f>SUM(AM6:AM12)</f>
        <v>0.00078622</v>
      </c>
      <c r="AN13" s="117">
        <f>IF(AM13=0,AL13,AL13*AM13)</f>
        <v>0.00078622</v>
      </c>
      <c r="AO13" s="19">
        <f t="shared" si="13"/>
        <v>0.999950701103036</v>
      </c>
      <c r="AP13" s="143"/>
      <c r="AQ13" s="91"/>
      <c r="AR13" s="148"/>
      <c r="AS13" s="149"/>
      <c r="AT13" s="151">
        <v>1</v>
      </c>
      <c r="AU13" s="108">
        <v>1.6</v>
      </c>
      <c r="AV13" s="274"/>
      <c r="AW13" s="22">
        <v>1</v>
      </c>
      <c r="AX13" s="249"/>
      <c r="AY13" s="92">
        <f t="shared" si="5"/>
        <v>1</v>
      </c>
      <c r="AZ13" s="118"/>
      <c r="BA13" s="119"/>
      <c r="BB13" s="170"/>
      <c r="BC13" s="119"/>
      <c r="BD13" s="128"/>
      <c r="BE13" s="88">
        <v>1.5</v>
      </c>
      <c r="BF13" s="80">
        <v>0</v>
      </c>
      <c r="BG13" s="68">
        <v>0</v>
      </c>
      <c r="BH13" s="120">
        <f>+D13+C13</f>
        <v>8690</v>
      </c>
      <c r="BI13" s="121">
        <f>+(1+BF13*BG13/BH13)/(1+BE13*SUM($BG$6:$BG$12)/SUM($BH$6:$BH$12))</f>
        <v>1</v>
      </c>
      <c r="BJ13" s="122"/>
      <c r="BK13" s="144"/>
      <c r="BL13" s="145"/>
      <c r="BM13" s="146"/>
      <c r="BN13" s="152"/>
      <c r="BO13" s="123">
        <v>7</v>
      </c>
      <c r="BP13" s="124"/>
      <c r="BQ13" s="122"/>
      <c r="BR13" s="125">
        <f>SUM(BR6:BR12)</f>
        <v>678</v>
      </c>
      <c r="BS13" s="143"/>
      <c r="BT13" s="92"/>
      <c r="BU13" s="93"/>
      <c r="BV13" s="251"/>
      <c r="BW13" s="175"/>
      <c r="BX13" s="176"/>
      <c r="BY13" s="175"/>
    </row>
    <row r="14" spans="1:82" ht="12.75">
      <c r="A14" s="33"/>
      <c r="B14" s="33"/>
      <c r="C14" s="33"/>
      <c r="D14" s="33"/>
      <c r="E14" s="33"/>
      <c r="F14" s="102"/>
      <c r="G14" s="102"/>
      <c r="H14" s="33"/>
      <c r="I14" s="33"/>
      <c r="J14" s="102"/>
      <c r="K14" s="102"/>
      <c r="L14" s="9"/>
      <c r="M14" s="100"/>
      <c r="N14" s="100"/>
      <c r="O14" s="33"/>
      <c r="P14" s="33"/>
      <c r="Q14" s="33"/>
      <c r="R14" s="102"/>
      <c r="S14" s="102"/>
      <c r="T14" s="9"/>
      <c r="U14" s="102"/>
      <c r="V14" s="102"/>
      <c r="W14" s="33"/>
      <c r="X14" s="33"/>
      <c r="Y14" s="102"/>
      <c r="Z14" s="102"/>
      <c r="AA14" s="9"/>
      <c r="AB14" s="100"/>
      <c r="AC14" s="100"/>
      <c r="AD14" s="33"/>
      <c r="AE14" s="33"/>
      <c r="AF14" s="102"/>
      <c r="AG14" s="102"/>
      <c r="AH14" s="9"/>
      <c r="AI14" s="102"/>
      <c r="AJ14" s="206"/>
      <c r="AK14" s="100"/>
      <c r="AL14" s="33"/>
      <c r="AM14" s="102"/>
      <c r="AN14" s="103"/>
      <c r="AO14" s="102"/>
      <c r="AP14" s="100"/>
      <c r="AQ14" s="100"/>
      <c r="AR14" s="100"/>
      <c r="AS14" s="181"/>
      <c r="AT14" s="104"/>
      <c r="AU14" s="182"/>
      <c r="AV14" s="105"/>
      <c r="AW14" s="182"/>
      <c r="AX14" s="105"/>
      <c r="AY14" s="100"/>
      <c r="AZ14" s="183"/>
      <c r="BA14" s="183"/>
      <c r="BB14" s="183"/>
      <c r="BC14" s="183"/>
      <c r="BD14" s="100"/>
      <c r="BE14" s="104"/>
      <c r="BF14" s="9"/>
      <c r="BG14" s="9"/>
      <c r="BH14" s="9"/>
      <c r="BI14" s="9"/>
      <c r="BJ14" s="101"/>
      <c r="BK14" s="184"/>
      <c r="BL14" s="101"/>
      <c r="BM14" s="184"/>
      <c r="BN14" s="106"/>
      <c r="BO14" s="177"/>
      <c r="BP14" s="101"/>
      <c r="BQ14" s="101"/>
      <c r="BR14" s="177"/>
      <c r="BS14" s="100"/>
      <c r="BT14" s="100"/>
      <c r="BU14" s="102"/>
      <c r="BV14" s="207"/>
      <c r="BW14" s="34"/>
      <c r="BX14" s="34"/>
      <c r="BY14" s="34"/>
      <c r="BZ14" s="217"/>
      <c r="CA14" s="217"/>
      <c r="CB14" s="217"/>
      <c r="CC14" s="217"/>
      <c r="CD14" s="217"/>
    </row>
    <row r="15" spans="1:77" ht="12.75">
      <c r="A15" s="211" t="s">
        <v>145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167"/>
      <c r="BB15" s="167"/>
      <c r="BC15" s="167"/>
      <c r="BD15" s="167"/>
      <c r="BE15" s="3"/>
      <c r="BF15" s="3"/>
      <c r="BG15" s="3"/>
      <c r="BH15" s="3"/>
      <c r="BI15" s="3"/>
      <c r="BJ15" s="167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1"/>
      <c r="BV15" s="3"/>
      <c r="BW15" s="3"/>
      <c r="BX15" s="3"/>
      <c r="BY15" s="3"/>
    </row>
    <row r="16" spans="1:77" ht="12.75">
      <c r="A16" s="211" t="s">
        <v>146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167"/>
      <c r="BB16" s="167"/>
      <c r="BC16" s="167"/>
      <c r="BD16" s="167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1"/>
      <c r="BV16" s="3"/>
      <c r="BW16" s="3"/>
      <c r="BX16" s="3"/>
      <c r="BY16" s="3"/>
    </row>
    <row r="17" spans="1:7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1"/>
      <c r="BV17" s="3"/>
      <c r="BW17" s="3"/>
      <c r="BX17" s="3"/>
      <c r="BY17" s="3"/>
    </row>
    <row r="18" spans="1:7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1"/>
      <c r="BV18" s="3"/>
      <c r="BW18" s="3"/>
      <c r="BX18" s="3"/>
      <c r="BY18" s="3"/>
    </row>
    <row r="19" spans="1:77" ht="12.75">
      <c r="A19" s="3"/>
      <c r="B19" s="3"/>
      <c r="C19" s="1"/>
      <c r="D19" s="3"/>
      <c r="E19" s="3"/>
      <c r="F19" s="3"/>
      <c r="G19" s="3"/>
      <c r="H19" s="3"/>
      <c r="I19" s="3"/>
      <c r="J19" s="3"/>
      <c r="K19" s="89"/>
      <c r="L19" s="228" t="s">
        <v>155</v>
      </c>
      <c r="M19" s="3"/>
      <c r="N19" s="3"/>
      <c r="O19" s="3"/>
      <c r="P19" s="3"/>
      <c r="Q19" s="3"/>
      <c r="R19" s="3"/>
      <c r="S19" s="89"/>
      <c r="T19" s="3"/>
      <c r="U19" s="3"/>
      <c r="V19" s="3"/>
      <c r="W19" s="3"/>
      <c r="X19" s="3"/>
      <c r="Y19" s="3"/>
      <c r="Z19" s="89"/>
      <c r="AA19" s="3"/>
      <c r="AB19" s="3"/>
      <c r="AC19" s="3"/>
      <c r="AD19" s="3"/>
      <c r="AE19" s="3"/>
      <c r="AF19" s="3"/>
      <c r="AG19" s="89"/>
      <c r="AH19" s="3"/>
      <c r="AI19" s="3"/>
      <c r="AJ19" s="3"/>
      <c r="AK19" s="3"/>
      <c r="AL19" s="3"/>
      <c r="AM19" s="3"/>
      <c r="AN19" s="3"/>
      <c r="AO19" s="1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109"/>
      <c r="BK19" s="3"/>
      <c r="BL19" s="3"/>
      <c r="BM19" s="3"/>
      <c r="BN19" s="3"/>
      <c r="BO19" s="3"/>
      <c r="BP19" s="3"/>
      <c r="BQ19" s="3"/>
      <c r="BR19" s="3"/>
      <c r="BS19" s="3"/>
      <c r="BT19" s="109"/>
      <c r="BU19" s="1"/>
      <c r="BV19" s="3"/>
      <c r="BW19" s="3"/>
      <c r="BX19" s="3"/>
      <c r="BY19" s="3"/>
    </row>
    <row r="20" spans="1:77" ht="12.75">
      <c r="A20" s="3"/>
      <c r="B20" s="3"/>
      <c r="C20" s="3"/>
      <c r="D20" s="3"/>
      <c r="E20" s="3"/>
      <c r="F20" s="3"/>
      <c r="G20" s="129" t="s">
        <v>67</v>
      </c>
      <c r="I20" s="3"/>
      <c r="J20" s="3"/>
      <c r="K20" s="3"/>
      <c r="L20" s="3" t="s">
        <v>69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29"/>
      <c r="AR20" s="3"/>
      <c r="AS20" s="3"/>
      <c r="AT20" s="3"/>
      <c r="AU20" s="3"/>
      <c r="AV20" s="3"/>
      <c r="AW20" s="3"/>
      <c r="AX20" s="3"/>
      <c r="AY20" s="3"/>
      <c r="AZ20" s="110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1"/>
      <c r="BV20" s="3"/>
      <c r="BW20" s="3"/>
      <c r="BX20" s="3"/>
      <c r="BY20" s="3"/>
    </row>
    <row r="21" spans="1:77" ht="12.75">
      <c r="A21" s="3"/>
      <c r="B21" s="3"/>
      <c r="C21" s="3"/>
      <c r="D21" t="s">
        <v>70</v>
      </c>
      <c r="K21" s="3"/>
      <c r="L21" s="3"/>
      <c r="M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1"/>
      <c r="BV21" s="3"/>
      <c r="BW21" s="3"/>
      <c r="BX21" s="3"/>
      <c r="BY21" s="3"/>
    </row>
    <row r="22" spans="1:77" ht="12.75">
      <c r="A22" s="3"/>
      <c r="B22" s="3"/>
      <c r="C22" s="3"/>
      <c r="D22" s="217"/>
      <c r="E22" s="217"/>
      <c r="F22" s="217"/>
      <c r="G22" s="217"/>
      <c r="H22" s="217"/>
      <c r="J22" s="217"/>
      <c r="K22" s="3"/>
      <c r="L22" s="3"/>
      <c r="M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1"/>
      <c r="BV22" s="3"/>
      <c r="BW22" s="3"/>
      <c r="BX22" s="3"/>
      <c r="BY22" s="3"/>
    </row>
    <row r="23" spans="1:77" ht="128.25">
      <c r="A23" s="191"/>
      <c r="B23" s="197" t="s">
        <v>127</v>
      </c>
      <c r="C23" s="196" t="s">
        <v>78</v>
      </c>
      <c r="D23" s="196" t="s">
        <v>114</v>
      </c>
      <c r="E23" s="196" t="s">
        <v>113</v>
      </c>
      <c r="F23" s="195" t="s">
        <v>128</v>
      </c>
      <c r="G23" s="195" t="s">
        <v>140</v>
      </c>
      <c r="H23" s="195" t="s">
        <v>129</v>
      </c>
      <c r="I23" s="113"/>
      <c r="J23" s="202" t="s">
        <v>124</v>
      </c>
      <c r="K23" s="197" t="s">
        <v>123</v>
      </c>
      <c r="L23" s="199" t="s">
        <v>115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1"/>
      <c r="BV23" s="3"/>
      <c r="BW23" s="3"/>
      <c r="BX23" s="3"/>
      <c r="BY23" s="3"/>
    </row>
    <row r="24" spans="1:77" ht="12.75">
      <c r="A24" s="204"/>
      <c r="B24" s="71"/>
      <c r="C24" s="116" t="s">
        <v>119</v>
      </c>
      <c r="D24" s="116" t="s">
        <v>68</v>
      </c>
      <c r="E24" s="116" t="s">
        <v>120</v>
      </c>
      <c r="F24" s="116" t="s">
        <v>121</v>
      </c>
      <c r="G24" s="116" t="s">
        <v>122</v>
      </c>
      <c r="H24" s="201" t="s">
        <v>121</v>
      </c>
      <c r="I24" s="71"/>
      <c r="J24" s="116" t="s">
        <v>142</v>
      </c>
      <c r="K24" s="116" t="s">
        <v>71</v>
      </c>
      <c r="L24" s="158" t="s">
        <v>141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"/>
      <c r="AP24" s="3"/>
      <c r="AQ24" s="3"/>
      <c r="AR24" s="3"/>
      <c r="AS24" s="89"/>
      <c r="AT24" s="89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1"/>
      <c r="BV24" s="3"/>
      <c r="BW24" s="3"/>
      <c r="BX24" s="3"/>
      <c r="BY24" s="3"/>
    </row>
    <row r="25" spans="1:77" ht="12.75">
      <c r="A25" s="205"/>
      <c r="B25" s="71"/>
      <c r="C25" s="140">
        <v>1</v>
      </c>
      <c r="D25" s="161">
        <v>2</v>
      </c>
      <c r="E25" s="162">
        <v>3</v>
      </c>
      <c r="F25" s="162">
        <v>4</v>
      </c>
      <c r="G25" s="140">
        <v>5</v>
      </c>
      <c r="H25" s="161">
        <v>6</v>
      </c>
      <c r="I25" s="140">
        <v>7</v>
      </c>
      <c r="J25" s="140">
        <v>8</v>
      </c>
      <c r="K25" s="140">
        <v>9</v>
      </c>
      <c r="L25" s="163">
        <v>10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"/>
      <c r="AP25" s="3"/>
      <c r="AQ25" s="3"/>
      <c r="AR25" s="3"/>
      <c r="AS25" s="89"/>
      <c r="AT25" s="89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1"/>
      <c r="BV25" s="3"/>
      <c r="BW25" s="3"/>
      <c r="BX25" s="3"/>
      <c r="BY25" s="3"/>
    </row>
    <row r="26" spans="1:77" ht="12.75">
      <c r="A26" s="4">
        <v>1</v>
      </c>
      <c r="B26" s="17" t="s">
        <v>8</v>
      </c>
      <c r="C26" s="153">
        <f aca="true" t="shared" si="27" ref="C26:C32">AP6</f>
        <v>1.4572712607484526</v>
      </c>
      <c r="D26" s="111">
        <v>0</v>
      </c>
      <c r="E26" s="188">
        <f>BV6</f>
        <v>12672.3</v>
      </c>
      <c r="F26" s="185">
        <f>E13</f>
        <v>8690</v>
      </c>
      <c r="G26" s="153">
        <f aca="true" t="shared" si="28" ref="G26:G32">BU6</f>
        <v>1.0471927422052754</v>
      </c>
      <c r="H26" s="114">
        <f aca="true" t="shared" si="29" ref="H26:H32">E6</f>
        <v>3949</v>
      </c>
      <c r="I26" s="71"/>
      <c r="J26" s="155">
        <f>(E26/F26)*G26*H26</f>
        <v>6030.445912342026</v>
      </c>
      <c r="K26" s="155">
        <f>D26/J26</f>
        <v>0</v>
      </c>
      <c r="L26" s="154">
        <f aca="true" t="shared" si="30" ref="L26:L32">C26+K26</f>
        <v>1.4572712607484526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05"/>
      <c r="AN26" s="252"/>
      <c r="AO26" s="254"/>
      <c r="AP26" s="3"/>
      <c r="AQ26" s="99"/>
      <c r="AR26" s="3"/>
      <c r="AS26" s="3"/>
      <c r="AT26" s="3"/>
      <c r="AU26" s="156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1"/>
      <c r="BV26" s="3"/>
      <c r="BW26" s="3"/>
      <c r="BX26" s="3"/>
      <c r="BY26" s="3"/>
    </row>
    <row r="27" spans="1:77" ht="12.75">
      <c r="A27" s="5">
        <v>2</v>
      </c>
      <c r="B27" s="18" t="s">
        <v>9</v>
      </c>
      <c r="C27" s="153">
        <f t="shared" si="27"/>
        <v>1.007387420283103</v>
      </c>
      <c r="D27" s="111">
        <v>0</v>
      </c>
      <c r="E27" s="189"/>
      <c r="F27" s="186"/>
      <c r="G27" s="153">
        <f t="shared" si="28"/>
        <v>1.029396254239024</v>
      </c>
      <c r="H27" s="114">
        <f t="shared" si="29"/>
        <v>525</v>
      </c>
      <c r="I27" s="71"/>
      <c r="J27" s="155">
        <f>(E26/F26)*G27*H27</f>
        <v>788.0931565145479</v>
      </c>
      <c r="K27" s="155">
        <f aca="true" t="shared" si="31" ref="K27:K32">D27/J27</f>
        <v>0</v>
      </c>
      <c r="L27" s="154">
        <f t="shared" si="30"/>
        <v>1.007387420283103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05"/>
      <c r="AN27" s="253"/>
      <c r="AO27" s="255"/>
      <c r="AP27" s="3"/>
      <c r="AQ27" s="99"/>
      <c r="AR27" s="3"/>
      <c r="AS27" s="3"/>
      <c r="AT27" s="3"/>
      <c r="AU27" s="156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1"/>
      <c r="BV27" s="3"/>
      <c r="BW27" s="3"/>
      <c r="BX27" s="3"/>
      <c r="BY27" s="3"/>
    </row>
    <row r="28" spans="1:77" ht="12.75">
      <c r="A28" s="5">
        <v>3</v>
      </c>
      <c r="B28" s="18" t="s">
        <v>10</v>
      </c>
      <c r="C28" s="153">
        <f t="shared" si="27"/>
        <v>0.5707931659376831</v>
      </c>
      <c r="D28" s="111">
        <v>0</v>
      </c>
      <c r="E28" s="189"/>
      <c r="F28" s="186"/>
      <c r="G28" s="153">
        <f t="shared" si="28"/>
        <v>0.9229850644562013</v>
      </c>
      <c r="H28" s="114">
        <f t="shared" si="29"/>
        <v>937</v>
      </c>
      <c r="I28" s="71"/>
      <c r="J28" s="155">
        <f>(E26/F26)*G28*H28</f>
        <v>1261.1592616194355</v>
      </c>
      <c r="K28" s="155">
        <f t="shared" si="31"/>
        <v>0</v>
      </c>
      <c r="L28" s="154">
        <f t="shared" si="30"/>
        <v>0.5707931659376831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05"/>
      <c r="AN28" s="253"/>
      <c r="AO28" s="255"/>
      <c r="AP28" s="3"/>
      <c r="AQ28" s="99"/>
      <c r="AR28" s="3"/>
      <c r="AS28" s="3"/>
      <c r="AT28" s="3"/>
      <c r="AU28" s="156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1"/>
      <c r="BV28" s="3"/>
      <c r="BW28" s="3"/>
      <c r="BX28" s="3"/>
      <c r="BY28" s="3"/>
    </row>
    <row r="29" spans="1:77" ht="12.75">
      <c r="A29" s="5">
        <v>4</v>
      </c>
      <c r="B29" s="18" t="s">
        <v>11</v>
      </c>
      <c r="C29" s="153">
        <f t="shared" si="27"/>
        <v>0.3969388467761205</v>
      </c>
      <c r="D29" s="111">
        <v>0</v>
      </c>
      <c r="E29" s="189"/>
      <c r="F29" s="186"/>
      <c r="G29" s="153">
        <f t="shared" si="28"/>
        <v>0.9412794570658167</v>
      </c>
      <c r="H29" s="114">
        <f t="shared" si="29"/>
        <v>919</v>
      </c>
      <c r="I29" s="71"/>
      <c r="J29" s="155">
        <f>(E26/F26)*G29*H29</f>
        <v>1261.449186997625</v>
      </c>
      <c r="K29" s="155">
        <f t="shared" si="31"/>
        <v>0</v>
      </c>
      <c r="L29" s="154">
        <f t="shared" si="30"/>
        <v>0.3969388467761205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05"/>
      <c r="AN29" s="253"/>
      <c r="AO29" s="255"/>
      <c r="AP29" s="3"/>
      <c r="AQ29" s="99"/>
      <c r="AR29" s="3"/>
      <c r="AS29" s="3"/>
      <c r="AT29" s="3"/>
      <c r="AU29" s="156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1"/>
      <c r="BV29" s="3"/>
      <c r="BW29" s="3"/>
      <c r="BX29" s="3"/>
      <c r="BY29" s="3"/>
    </row>
    <row r="30" spans="1:77" ht="12.75">
      <c r="A30" s="5">
        <v>5</v>
      </c>
      <c r="B30" s="18" t="s">
        <v>12</v>
      </c>
      <c r="C30" s="153">
        <f t="shared" si="27"/>
        <v>0.2888143290173768</v>
      </c>
      <c r="D30" s="111">
        <v>163</v>
      </c>
      <c r="E30" s="189"/>
      <c r="F30" s="186"/>
      <c r="G30" s="153">
        <f t="shared" si="28"/>
        <v>0.917886615033514</v>
      </c>
      <c r="H30" s="114">
        <f t="shared" si="29"/>
        <v>989</v>
      </c>
      <c r="I30" s="71"/>
      <c r="J30" s="155">
        <f>(E26/F26)*G30*H30</f>
        <v>1323.7957965040987</v>
      </c>
      <c r="K30" s="155">
        <f t="shared" si="31"/>
        <v>0.12313077321325014</v>
      </c>
      <c r="L30" s="154">
        <f t="shared" si="30"/>
        <v>0.41194510223062697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05"/>
      <c r="AN30" s="253"/>
      <c r="AO30" s="255"/>
      <c r="AP30" s="3"/>
      <c r="AQ30" s="99"/>
      <c r="AR30" s="3"/>
      <c r="AS30" s="3"/>
      <c r="AT30" s="3"/>
      <c r="AU30" s="156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1"/>
      <c r="BV30" s="3"/>
      <c r="BW30" s="3"/>
      <c r="BX30" s="3"/>
      <c r="BY30" s="3"/>
    </row>
    <row r="31" spans="1:77" ht="12.75">
      <c r="A31" s="5">
        <v>6</v>
      </c>
      <c r="B31" s="18" t="s">
        <v>13</v>
      </c>
      <c r="C31" s="153">
        <f t="shared" si="27"/>
        <v>0.6039001105082843</v>
      </c>
      <c r="D31" s="111">
        <v>0</v>
      </c>
      <c r="E31" s="189"/>
      <c r="F31" s="186"/>
      <c r="G31" s="153">
        <f t="shared" si="28"/>
        <v>1.0045936327770402</v>
      </c>
      <c r="H31" s="114">
        <f t="shared" si="29"/>
        <v>846</v>
      </c>
      <c r="I31" s="71"/>
      <c r="J31" s="155">
        <f>(E26/F26)*G31*H31</f>
        <v>1239.3570841396836</v>
      </c>
      <c r="K31" s="155">
        <f t="shared" si="31"/>
        <v>0</v>
      </c>
      <c r="L31" s="154">
        <f t="shared" si="30"/>
        <v>0.6039001105082843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05"/>
      <c r="AN31" s="253"/>
      <c r="AO31" s="255"/>
      <c r="AP31" s="3"/>
      <c r="AQ31" s="99"/>
      <c r="AR31" s="3"/>
      <c r="AS31" s="3"/>
      <c r="AT31" s="3"/>
      <c r="AU31" s="156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1"/>
      <c r="BV31" s="3"/>
      <c r="BW31" s="3"/>
      <c r="BX31" s="3"/>
      <c r="BY31" s="3"/>
    </row>
    <row r="32" spans="1:77" ht="13.5" thickBot="1">
      <c r="A32" s="5">
        <v>7</v>
      </c>
      <c r="B32" s="18" t="s">
        <v>14</v>
      </c>
      <c r="C32" s="153">
        <f t="shared" si="27"/>
        <v>0.6059273867367041</v>
      </c>
      <c r="D32" s="111">
        <v>0</v>
      </c>
      <c r="E32" s="189"/>
      <c r="F32" s="186"/>
      <c r="G32" s="153">
        <f t="shared" si="28"/>
        <v>1.0031503343226922</v>
      </c>
      <c r="H32" s="114">
        <f t="shared" si="29"/>
        <v>525</v>
      </c>
      <c r="I32" s="71"/>
      <c r="J32" s="155">
        <f>(E26/F26)*G32*H32</f>
        <v>767.9996018825848</v>
      </c>
      <c r="K32" s="155">
        <f t="shared" si="31"/>
        <v>0</v>
      </c>
      <c r="L32" s="154">
        <f t="shared" si="30"/>
        <v>0.6059273867367041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05"/>
      <c r="AN32" s="253"/>
      <c r="AO32" s="255"/>
      <c r="AP32" s="3"/>
      <c r="AQ32" s="99"/>
      <c r="AR32" s="3"/>
      <c r="AS32" s="3"/>
      <c r="AT32" s="3"/>
      <c r="AU32" s="156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1"/>
      <c r="BV32" s="3"/>
      <c r="BW32" s="3"/>
      <c r="BX32" s="3"/>
      <c r="BY32" s="3"/>
    </row>
    <row r="33" spans="1:77" ht="13.5" thickBot="1">
      <c r="A33" s="12"/>
      <c r="B33" s="14"/>
      <c r="C33" s="71"/>
      <c r="D33" s="112">
        <f>SUM(D26:D32)</f>
        <v>163</v>
      </c>
      <c r="E33" s="190"/>
      <c r="F33" s="187"/>
      <c r="G33" s="71"/>
      <c r="H33" s="115">
        <f>SUM(H26:H32)</f>
        <v>8690</v>
      </c>
      <c r="I33" s="71"/>
      <c r="J33" s="71"/>
      <c r="K33" s="71"/>
      <c r="L33" s="15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05"/>
      <c r="AN33" s="253"/>
      <c r="AO33" s="255"/>
      <c r="AP33" s="3"/>
      <c r="AQ33" s="33"/>
      <c r="AR33" s="3"/>
      <c r="AS33" s="3"/>
      <c r="AT33" s="3"/>
      <c r="AU33" s="156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1"/>
      <c r="BV33" s="3"/>
      <c r="BW33" s="3"/>
      <c r="BX33" s="3"/>
      <c r="BY33" s="3"/>
    </row>
    <row r="34" spans="6:8" ht="12.75">
      <c r="F34" s="217"/>
      <c r="G34" s="217"/>
      <c r="H34" s="217"/>
    </row>
    <row r="36" ht="12.75">
      <c r="L36" t="s">
        <v>156</v>
      </c>
    </row>
    <row r="37" spans="2:17" ht="12.75">
      <c r="B37" s="200" t="s">
        <v>65</v>
      </c>
      <c r="K37" s="3"/>
      <c r="L37" t="s">
        <v>138</v>
      </c>
      <c r="M37" s="3"/>
      <c r="N37" s="3"/>
      <c r="O37" s="3"/>
      <c r="P37" s="3"/>
      <c r="Q37" s="3"/>
    </row>
    <row r="38" spans="2:17" ht="12.75">
      <c r="B38" s="230" t="s">
        <v>159</v>
      </c>
      <c r="C38" s="159"/>
      <c r="D38" s="159"/>
      <c r="E38" s="159"/>
      <c r="F38" s="159"/>
      <c r="G38" s="159"/>
      <c r="H38" s="159"/>
      <c r="I38" s="159"/>
      <c r="J38" s="159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219"/>
      <c r="J39" s="3"/>
      <c r="K39" s="220"/>
      <c r="L39" s="3"/>
      <c r="M39" s="3"/>
      <c r="N39" s="3"/>
      <c r="O39" s="3"/>
      <c r="P39" s="3"/>
      <c r="Q39" s="3"/>
    </row>
    <row r="40" spans="1:18" ht="12.75">
      <c r="A40" s="3"/>
      <c r="B40" s="130"/>
      <c r="C40" s="256" t="s">
        <v>130</v>
      </c>
      <c r="D40" s="256" t="s">
        <v>131</v>
      </c>
      <c r="E40" s="257" t="s">
        <v>132</v>
      </c>
      <c r="F40" s="130"/>
      <c r="G40" s="130"/>
      <c r="H40" s="258" t="s">
        <v>116</v>
      </c>
      <c r="I40" s="257" t="s">
        <v>118</v>
      </c>
      <c r="J40" s="259" t="s">
        <v>117</v>
      </c>
      <c r="K40" s="132"/>
      <c r="L40" s="236" t="s">
        <v>139</v>
      </c>
      <c r="M40" s="238" t="s">
        <v>125</v>
      </c>
      <c r="N40" s="131"/>
      <c r="O40" s="174"/>
      <c r="P40" s="240" t="s">
        <v>160</v>
      </c>
      <c r="Q40" s="240" t="s">
        <v>165</v>
      </c>
      <c r="R40" s="242" t="s">
        <v>161</v>
      </c>
    </row>
    <row r="41" spans="1:18" ht="133.5" customHeight="1">
      <c r="A41" s="3"/>
      <c r="B41" s="194" t="s">
        <v>126</v>
      </c>
      <c r="C41" s="239"/>
      <c r="D41" s="239"/>
      <c r="E41" s="239"/>
      <c r="F41" s="193" t="s">
        <v>134</v>
      </c>
      <c r="G41" s="193" t="s">
        <v>135</v>
      </c>
      <c r="H41" s="239"/>
      <c r="I41" s="239"/>
      <c r="J41" s="260"/>
      <c r="K41" s="133" t="s">
        <v>133</v>
      </c>
      <c r="L41" s="237"/>
      <c r="M41" s="239"/>
      <c r="N41" s="173" t="s">
        <v>136</v>
      </c>
      <c r="O41" s="172" t="s">
        <v>137</v>
      </c>
      <c r="P41" s="241"/>
      <c r="Q41" s="241"/>
      <c r="R41" s="242"/>
    </row>
    <row r="42" spans="1:18" ht="12.75">
      <c r="A42" s="3"/>
      <c r="B42" s="203"/>
      <c r="C42" s="134">
        <v>1</v>
      </c>
      <c r="D42" s="135">
        <v>2</v>
      </c>
      <c r="E42" s="135">
        <v>3</v>
      </c>
      <c r="F42" s="135">
        <v>4</v>
      </c>
      <c r="G42" s="135">
        <v>5</v>
      </c>
      <c r="H42" s="136">
        <v>6</v>
      </c>
      <c r="I42" s="136">
        <v>7</v>
      </c>
      <c r="J42" s="136">
        <v>8</v>
      </c>
      <c r="K42" s="136">
        <v>9</v>
      </c>
      <c r="L42" s="136">
        <v>10</v>
      </c>
      <c r="M42" s="135">
        <v>11</v>
      </c>
      <c r="N42" s="135">
        <v>12</v>
      </c>
      <c r="O42" s="135">
        <v>13</v>
      </c>
      <c r="P42" s="208">
        <v>14</v>
      </c>
      <c r="Q42" s="208">
        <v>15</v>
      </c>
      <c r="R42" s="229">
        <v>16</v>
      </c>
    </row>
    <row r="43" spans="1:18" ht="12.75">
      <c r="A43" s="3"/>
      <c r="B43" s="137" t="s">
        <v>8</v>
      </c>
      <c r="C43" s="138">
        <f aca="true" t="shared" si="32" ref="C43:C49">L26</f>
        <v>1.4572712607484526</v>
      </c>
      <c r="D43" s="138">
        <f aca="true" t="shared" si="33" ref="D43:D49">BU6</f>
        <v>1.0471927422052754</v>
      </c>
      <c r="E43" s="157">
        <f>E6</f>
        <v>3949</v>
      </c>
      <c r="F43" s="138">
        <f aca="true" t="shared" si="34" ref="F43:F49">C43*D43*E43</f>
        <v>6026.347312448758</v>
      </c>
      <c r="G43" s="160">
        <f>D43*E43</f>
        <v>4135.364138968633</v>
      </c>
      <c r="H43" s="243">
        <v>17857.7</v>
      </c>
      <c r="I43" s="245">
        <f>E13</f>
        <v>8690</v>
      </c>
      <c r="J43" s="245">
        <f>BV6</f>
        <v>12672.3</v>
      </c>
      <c r="K43" s="246">
        <f>H43/(J43/I43)</f>
        <v>12245.875886776672</v>
      </c>
      <c r="L43" s="178">
        <f>(K43+F50)/G50</f>
        <v>2.4004577692495412</v>
      </c>
      <c r="M43" s="139">
        <f>L43-C43</f>
        <v>0.9431865085010886</v>
      </c>
      <c r="N43" s="247">
        <f>J43/I43</f>
        <v>1.4582623705408515</v>
      </c>
      <c r="O43" s="164">
        <f>N43*M43*D43*E43</f>
        <v>5687.835224766537</v>
      </c>
      <c r="P43" s="209">
        <v>4252.9</v>
      </c>
      <c r="Q43" s="209">
        <v>5687.8</v>
      </c>
      <c r="R43" s="233">
        <f>Q43-P43</f>
        <v>1434.9000000000005</v>
      </c>
    </row>
    <row r="44" spans="1:18" ht="12.75">
      <c r="A44" s="3"/>
      <c r="B44" s="116" t="s">
        <v>9</v>
      </c>
      <c r="C44" s="138">
        <f t="shared" si="32"/>
        <v>1.007387420283103</v>
      </c>
      <c r="D44" s="138">
        <f t="shared" si="33"/>
        <v>1.029396254239024</v>
      </c>
      <c r="E44" s="157">
        <f aca="true" t="shared" si="35" ref="E44:E49">E7</f>
        <v>525</v>
      </c>
      <c r="F44" s="138">
        <f t="shared" si="34"/>
        <v>544.4254394286434</v>
      </c>
      <c r="G44" s="160">
        <f aca="true" t="shared" si="36" ref="G44:G49">D44*E44</f>
        <v>540.4330334754876</v>
      </c>
      <c r="H44" s="244"/>
      <c r="I44" s="244"/>
      <c r="J44" s="244"/>
      <c r="K44" s="244"/>
      <c r="L44" s="179"/>
      <c r="M44" s="139">
        <f>L43-C44</f>
        <v>1.3930703489664382</v>
      </c>
      <c r="N44" s="244"/>
      <c r="O44" s="164">
        <f>N43*M44*D44*E44</f>
        <v>1097.8692085637833</v>
      </c>
      <c r="P44" s="209">
        <v>738.3</v>
      </c>
      <c r="Q44" s="209">
        <v>1097.9</v>
      </c>
      <c r="R44" s="233">
        <f aca="true" t="shared" si="37" ref="R44:R50">Q44-P44</f>
        <v>359.60000000000014</v>
      </c>
    </row>
    <row r="45" spans="1:18" ht="12.75">
      <c r="A45" s="3"/>
      <c r="B45" s="116" t="s">
        <v>10</v>
      </c>
      <c r="C45" s="138">
        <f t="shared" si="32"/>
        <v>0.5707931659376831</v>
      </c>
      <c r="D45" s="138">
        <f t="shared" si="33"/>
        <v>0.9229850644562013</v>
      </c>
      <c r="E45" s="157">
        <f t="shared" si="35"/>
        <v>937</v>
      </c>
      <c r="F45" s="138">
        <f t="shared" si="34"/>
        <v>493.64305232974016</v>
      </c>
      <c r="G45" s="160">
        <f t="shared" si="36"/>
        <v>864.8370053954607</v>
      </c>
      <c r="H45" s="244"/>
      <c r="I45" s="244"/>
      <c r="J45" s="244"/>
      <c r="K45" s="244"/>
      <c r="L45" s="179"/>
      <c r="M45" s="139">
        <f>L43-C45</f>
        <v>1.829664603311858</v>
      </c>
      <c r="N45" s="244"/>
      <c r="O45" s="164">
        <f>N43*M45*D45*E45</f>
        <v>2307.4984601240003</v>
      </c>
      <c r="P45" s="209">
        <v>2007.1</v>
      </c>
      <c r="Q45" s="209">
        <v>2307.5</v>
      </c>
      <c r="R45" s="233">
        <f t="shared" si="37"/>
        <v>300.4000000000001</v>
      </c>
    </row>
    <row r="46" spans="1:18" ht="12.75">
      <c r="A46" s="3"/>
      <c r="B46" s="116" t="s">
        <v>11</v>
      </c>
      <c r="C46" s="138">
        <f t="shared" si="32"/>
        <v>0.3969388467761205</v>
      </c>
      <c r="D46" s="138">
        <f t="shared" si="33"/>
        <v>0.9412794570658167</v>
      </c>
      <c r="E46" s="157">
        <f t="shared" si="35"/>
        <v>919</v>
      </c>
      <c r="F46" s="138">
        <f t="shared" si="34"/>
        <v>343.36632122503573</v>
      </c>
      <c r="G46" s="160">
        <f t="shared" si="36"/>
        <v>865.0358210434856</v>
      </c>
      <c r="H46" s="244"/>
      <c r="I46" s="244"/>
      <c r="J46" s="244"/>
      <c r="K46" s="244"/>
      <c r="L46" s="179"/>
      <c r="M46" s="139">
        <f>L43-C46</f>
        <v>2.003518922473421</v>
      </c>
      <c r="N46" s="244"/>
      <c r="O46" s="164">
        <f>N43*M46*D46*E46</f>
        <v>2527.3373158884547</v>
      </c>
      <c r="P46" s="209">
        <v>2126.5</v>
      </c>
      <c r="Q46" s="209">
        <v>2527.3</v>
      </c>
      <c r="R46" s="233">
        <f t="shared" si="37"/>
        <v>400.8000000000002</v>
      </c>
    </row>
    <row r="47" spans="1:18" ht="12.75">
      <c r="A47" s="3"/>
      <c r="B47" s="116" t="s">
        <v>12</v>
      </c>
      <c r="C47" s="138">
        <f t="shared" si="32"/>
        <v>0.41194510223062697</v>
      </c>
      <c r="D47" s="138">
        <f t="shared" si="33"/>
        <v>0.917886615033514</v>
      </c>
      <c r="E47" s="157">
        <f t="shared" si="35"/>
        <v>989</v>
      </c>
      <c r="F47" s="138">
        <f t="shared" si="34"/>
        <v>373.9595876159779</v>
      </c>
      <c r="G47" s="160">
        <f t="shared" si="36"/>
        <v>907.7898622681454</v>
      </c>
      <c r="H47" s="244"/>
      <c r="I47" s="244"/>
      <c r="J47" s="244"/>
      <c r="K47" s="244"/>
      <c r="L47" s="179"/>
      <c r="M47" s="139">
        <f>L43-C47</f>
        <v>1.9885126670189144</v>
      </c>
      <c r="N47" s="244"/>
      <c r="O47" s="164">
        <f>N43*M47*D47*E47</f>
        <v>2632.384709894793</v>
      </c>
      <c r="P47" s="209">
        <v>2317</v>
      </c>
      <c r="Q47" s="209">
        <v>2632.4</v>
      </c>
      <c r="R47" s="233">
        <f t="shared" si="37"/>
        <v>315.4000000000001</v>
      </c>
    </row>
    <row r="48" spans="1:18" ht="12.75">
      <c r="A48" s="3"/>
      <c r="B48" s="116" t="s">
        <v>13</v>
      </c>
      <c r="C48" s="138">
        <f t="shared" si="32"/>
        <v>0.6039001105082843</v>
      </c>
      <c r="D48" s="138">
        <f t="shared" si="33"/>
        <v>1.0045936327770402</v>
      </c>
      <c r="E48" s="157">
        <f t="shared" si="35"/>
        <v>846</v>
      </c>
      <c r="F48" s="138">
        <f t="shared" si="34"/>
        <v>513.2463781490775</v>
      </c>
      <c r="G48" s="160">
        <f t="shared" si="36"/>
        <v>849.886213329376</v>
      </c>
      <c r="H48" s="244"/>
      <c r="I48" s="244"/>
      <c r="J48" s="244"/>
      <c r="K48" s="244"/>
      <c r="L48" s="179"/>
      <c r="M48" s="139">
        <f>L43-C48</f>
        <v>1.796557658741257</v>
      </c>
      <c r="N48" s="244"/>
      <c r="O48" s="164">
        <f>N43*M48*D48*E48</f>
        <v>2226.5764614263812</v>
      </c>
      <c r="P48" s="209">
        <v>1931.3</v>
      </c>
      <c r="Q48" s="209">
        <v>2226.6</v>
      </c>
      <c r="R48" s="233">
        <f t="shared" si="37"/>
        <v>295.29999999999995</v>
      </c>
    </row>
    <row r="49" spans="1:18" ht="12.75">
      <c r="A49" s="3"/>
      <c r="B49" s="116" t="s">
        <v>14</v>
      </c>
      <c r="C49" s="138">
        <f t="shared" si="32"/>
        <v>0.6059273867367041</v>
      </c>
      <c r="D49" s="138">
        <f t="shared" si="33"/>
        <v>1.0031503343226922</v>
      </c>
      <c r="E49" s="157">
        <f t="shared" si="35"/>
        <v>525</v>
      </c>
      <c r="F49" s="138">
        <f t="shared" si="34"/>
        <v>319.11403680460495</v>
      </c>
      <c r="G49" s="160">
        <f t="shared" si="36"/>
        <v>526.6539255194134</v>
      </c>
      <c r="H49" s="239"/>
      <c r="I49" s="239"/>
      <c r="J49" s="239"/>
      <c r="K49" s="239"/>
      <c r="L49" s="180"/>
      <c r="M49" s="139">
        <f>L43-C49</f>
        <v>1.7945303825128371</v>
      </c>
      <c r="N49" s="239"/>
      <c r="O49" s="164">
        <f>N43*M49*D49*E49</f>
        <v>1378.1986193360615</v>
      </c>
      <c r="P49" s="209">
        <v>1195.3</v>
      </c>
      <c r="Q49" s="209">
        <v>1378.2</v>
      </c>
      <c r="R49" s="233">
        <f t="shared" si="37"/>
        <v>182.9000000000001</v>
      </c>
    </row>
    <row r="50" spans="2:18" ht="12.75">
      <c r="B50" s="142" t="s">
        <v>66</v>
      </c>
      <c r="C50" s="141"/>
      <c r="D50" s="141"/>
      <c r="E50" s="227">
        <f>SUM(E43:E49)</f>
        <v>8690</v>
      </c>
      <c r="F50" s="165">
        <f>SUM(F43:F49)</f>
        <v>8614.10212800184</v>
      </c>
      <c r="G50" s="166">
        <f>SUM(G43:G49)</f>
        <v>8690</v>
      </c>
      <c r="H50" s="141"/>
      <c r="I50" s="141"/>
      <c r="J50" s="141"/>
      <c r="K50" s="141"/>
      <c r="L50" s="141"/>
      <c r="M50" s="141"/>
      <c r="N50" s="141"/>
      <c r="O50" s="231">
        <f>SUM(O43:O49)</f>
        <v>17857.70000000001</v>
      </c>
      <c r="P50" s="210">
        <f>SUM(P43:P49)</f>
        <v>14568.399999999998</v>
      </c>
      <c r="Q50" s="210">
        <f>SUM(Q43:Q49)</f>
        <v>17857.7</v>
      </c>
      <c r="R50" s="233">
        <f t="shared" si="37"/>
        <v>3289.300000000003</v>
      </c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34"/>
    </row>
  </sheetData>
  <sheetProtection/>
  <mergeCells count="74">
    <mergeCell ref="R40:R41"/>
    <mergeCell ref="L40:L41"/>
    <mergeCell ref="M40:M41"/>
    <mergeCell ref="P40:P41"/>
    <mergeCell ref="H43:H49"/>
    <mergeCell ref="I43:I49"/>
    <mergeCell ref="J43:J49"/>
    <mergeCell ref="K43:K49"/>
    <mergeCell ref="N43:N49"/>
    <mergeCell ref="Q40:Q41"/>
    <mergeCell ref="AX6:AX13"/>
    <mergeCell ref="BV6:BV13"/>
    <mergeCell ref="AN26:AN33"/>
    <mergeCell ref="AO26:AO33"/>
    <mergeCell ref="C40:C41"/>
    <mergeCell ref="D40:D41"/>
    <mergeCell ref="E40:E41"/>
    <mergeCell ref="H40:H41"/>
    <mergeCell ref="I40:I41"/>
    <mergeCell ref="J40:J41"/>
    <mergeCell ref="BX3:BX4"/>
    <mergeCell ref="BY3:BY4"/>
    <mergeCell ref="AQ4:AS4"/>
    <mergeCell ref="BK4:BM4"/>
    <mergeCell ref="L6:L13"/>
    <mergeCell ref="T6:T13"/>
    <mergeCell ref="AA6:AA13"/>
    <mergeCell ref="AH6:AH13"/>
    <mergeCell ref="AJ6:AJ13"/>
    <mergeCell ref="AV6:AV13"/>
    <mergeCell ref="BR3:BR4"/>
    <mergeCell ref="BS3:BS4"/>
    <mergeCell ref="BT3:BT4"/>
    <mergeCell ref="BU3:BU4"/>
    <mergeCell ref="BV3:BV4"/>
    <mergeCell ref="BW3:BW4"/>
    <mergeCell ref="BI3:BI4"/>
    <mergeCell ref="BJ3:BJ4"/>
    <mergeCell ref="BN3:BN4"/>
    <mergeCell ref="BO3:BO4"/>
    <mergeCell ref="BP3:BP4"/>
    <mergeCell ref="BQ3:BQ4"/>
    <mergeCell ref="BC3:BC4"/>
    <mergeCell ref="BD3:BD4"/>
    <mergeCell ref="BE3:BE4"/>
    <mergeCell ref="BF3:BF4"/>
    <mergeCell ref="BG3:BG4"/>
    <mergeCell ref="BH3:BH4"/>
    <mergeCell ref="AW3:AW4"/>
    <mergeCell ref="AX3:AX4"/>
    <mergeCell ref="AY3:AY4"/>
    <mergeCell ref="AZ3:AZ4"/>
    <mergeCell ref="BA3:BA4"/>
    <mergeCell ref="BB3:BB4"/>
    <mergeCell ref="AN3:AN4"/>
    <mergeCell ref="AO3:AO4"/>
    <mergeCell ref="AP3:AP4"/>
    <mergeCell ref="AT3:AT4"/>
    <mergeCell ref="AU3:AU4"/>
    <mergeCell ref="AV3:AV4"/>
    <mergeCell ref="AB3:AH3"/>
    <mergeCell ref="AI3:AI4"/>
    <mergeCell ref="AJ3:AJ4"/>
    <mergeCell ref="AK3:AK4"/>
    <mergeCell ref="AL3:AL4"/>
    <mergeCell ref="AM3:AM4"/>
    <mergeCell ref="C1:U1"/>
    <mergeCell ref="A3:A4"/>
    <mergeCell ref="B3:B4"/>
    <mergeCell ref="C3:D3"/>
    <mergeCell ref="E3:E4"/>
    <mergeCell ref="F3:L3"/>
    <mergeCell ref="M3:T3"/>
    <mergeCell ref="U3:AA3"/>
  </mergeCells>
  <printOptions/>
  <pageMargins left="0.7874015748031497" right="0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51"/>
  <sheetViews>
    <sheetView zoomScalePageLayoutView="0" workbookViewId="0" topLeftCell="A31">
      <selection activeCell="D55" sqref="D55"/>
    </sheetView>
  </sheetViews>
  <sheetFormatPr defaultColWidth="9.00390625" defaultRowHeight="12.75"/>
  <cols>
    <col min="1" max="1" width="4.125" style="0" customWidth="1"/>
    <col min="2" max="2" width="16.75390625" style="0" customWidth="1"/>
    <col min="6" max="6" width="10.875" style="0" customWidth="1"/>
    <col min="10" max="10" width="12.00390625" style="0" customWidth="1"/>
    <col min="11" max="11" width="12.125" style="0" bestFit="1" customWidth="1"/>
    <col min="19" max="19" width="11.125" style="0" bestFit="1" customWidth="1"/>
    <col min="26" max="26" width="11.75390625" style="0" bestFit="1" customWidth="1"/>
    <col min="27" max="27" width="8.75390625" style="0" customWidth="1"/>
    <col min="33" max="33" width="11.125" style="0" bestFit="1" customWidth="1"/>
    <col min="39" max="39" width="12.75390625" style="0" customWidth="1"/>
    <col min="40" max="40" width="10.625" style="0" bestFit="1" customWidth="1"/>
    <col min="61" max="61" width="7.125" style="0" customWidth="1"/>
    <col min="67" max="67" width="5.75390625" style="0" customWidth="1"/>
    <col min="70" max="70" width="7.75390625" style="0" customWidth="1"/>
    <col min="75" max="75" width="6.875" style="0" customWidth="1"/>
  </cols>
  <sheetData>
    <row r="1" spans="1:77" ht="39" customHeight="1">
      <c r="A1" s="1"/>
      <c r="B1" s="1" t="s">
        <v>151</v>
      </c>
      <c r="C1" s="310" t="s">
        <v>150</v>
      </c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2"/>
      <c r="W1" s="2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1"/>
      <c r="AV1" s="21"/>
      <c r="AW1" s="1"/>
      <c r="AX1" s="1"/>
      <c r="AY1" s="1"/>
      <c r="AZ1" s="1"/>
      <c r="BA1" s="1"/>
      <c r="BB1" s="1"/>
      <c r="BC1" s="1"/>
      <c r="BD1" s="1"/>
      <c r="BE1" s="21"/>
      <c r="BF1" s="21"/>
      <c r="BG1" s="21"/>
      <c r="BH1" s="21"/>
      <c r="BI1" s="2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8.75" thickBot="1">
      <c r="A2" s="1"/>
      <c r="B2" s="1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"/>
      <c r="Q2" s="2"/>
      <c r="R2" s="2"/>
      <c r="S2" s="2"/>
      <c r="T2" s="2"/>
      <c r="U2" s="2"/>
      <c r="V2" s="2"/>
      <c r="W2" s="2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3.5" thickBot="1">
      <c r="A3" s="288" t="s">
        <v>1</v>
      </c>
      <c r="B3" s="261" t="s">
        <v>0</v>
      </c>
      <c r="C3" s="304"/>
      <c r="D3" s="304"/>
      <c r="E3" s="275" t="s">
        <v>147</v>
      </c>
      <c r="F3" s="303" t="s">
        <v>24</v>
      </c>
      <c r="G3" s="304"/>
      <c r="H3" s="304"/>
      <c r="I3" s="304"/>
      <c r="J3" s="304"/>
      <c r="K3" s="304"/>
      <c r="L3" s="305"/>
      <c r="M3" s="303" t="s">
        <v>25</v>
      </c>
      <c r="N3" s="304"/>
      <c r="O3" s="304"/>
      <c r="P3" s="304"/>
      <c r="Q3" s="304"/>
      <c r="R3" s="304"/>
      <c r="S3" s="304"/>
      <c r="T3" s="305"/>
      <c r="U3" s="303" t="s">
        <v>33</v>
      </c>
      <c r="V3" s="304"/>
      <c r="W3" s="304"/>
      <c r="X3" s="304"/>
      <c r="Y3" s="304"/>
      <c r="Z3" s="304"/>
      <c r="AA3" s="305"/>
      <c r="AB3" s="303" t="s">
        <v>41</v>
      </c>
      <c r="AC3" s="304"/>
      <c r="AD3" s="304"/>
      <c r="AE3" s="304"/>
      <c r="AF3" s="304"/>
      <c r="AG3" s="304"/>
      <c r="AH3" s="305"/>
      <c r="AI3" s="306" t="s">
        <v>75</v>
      </c>
      <c r="AJ3" s="281" t="s">
        <v>51</v>
      </c>
      <c r="AK3" s="281" t="s">
        <v>74</v>
      </c>
      <c r="AL3" s="291" t="s">
        <v>92</v>
      </c>
      <c r="AM3" s="308" t="s">
        <v>148</v>
      </c>
      <c r="AN3" s="290" t="s">
        <v>59</v>
      </c>
      <c r="AO3" s="297" t="s">
        <v>79</v>
      </c>
      <c r="AP3" s="299" t="s">
        <v>64</v>
      </c>
      <c r="AQ3" s="96" t="s">
        <v>2</v>
      </c>
      <c r="AR3" s="97" t="s">
        <v>3</v>
      </c>
      <c r="AS3" s="98" t="s">
        <v>4</v>
      </c>
      <c r="AT3" s="287" t="s">
        <v>60</v>
      </c>
      <c r="AU3" s="301" t="s">
        <v>54</v>
      </c>
      <c r="AV3" s="281" t="s">
        <v>55</v>
      </c>
      <c r="AW3" s="291" t="s">
        <v>105</v>
      </c>
      <c r="AX3" s="281" t="s">
        <v>56</v>
      </c>
      <c r="AY3" s="290" t="s">
        <v>101</v>
      </c>
      <c r="AZ3" s="288" t="s">
        <v>107</v>
      </c>
      <c r="BA3" s="291" t="s">
        <v>108</v>
      </c>
      <c r="BB3" s="291" t="s">
        <v>109</v>
      </c>
      <c r="BC3" s="291" t="s">
        <v>57</v>
      </c>
      <c r="BD3" s="290" t="s">
        <v>103</v>
      </c>
      <c r="BE3" s="293" t="s">
        <v>50</v>
      </c>
      <c r="BF3" s="295" t="s">
        <v>106</v>
      </c>
      <c r="BG3" s="291" t="s">
        <v>58</v>
      </c>
      <c r="BH3" s="281" t="s">
        <v>77</v>
      </c>
      <c r="BI3" s="281" t="s">
        <v>99</v>
      </c>
      <c r="BJ3" s="285" t="s">
        <v>95</v>
      </c>
      <c r="BK3" s="96" t="s">
        <v>5</v>
      </c>
      <c r="BL3" s="97" t="s">
        <v>6</v>
      </c>
      <c r="BM3" s="98" t="s">
        <v>7</v>
      </c>
      <c r="BN3" s="287" t="s">
        <v>61</v>
      </c>
      <c r="BO3" s="288" t="s">
        <v>62</v>
      </c>
      <c r="BP3" s="290" t="s">
        <v>98</v>
      </c>
      <c r="BQ3" s="277" t="s">
        <v>97</v>
      </c>
      <c r="BR3" s="275" t="s">
        <v>63</v>
      </c>
      <c r="BS3" s="277" t="s">
        <v>96</v>
      </c>
      <c r="BT3" s="277" t="s">
        <v>94</v>
      </c>
      <c r="BU3" s="279" t="s">
        <v>93</v>
      </c>
      <c r="BV3" s="281" t="s">
        <v>73</v>
      </c>
      <c r="BW3" s="283" t="s">
        <v>102</v>
      </c>
      <c r="BX3" s="261" t="s">
        <v>111</v>
      </c>
      <c r="BY3" s="261" t="s">
        <v>110</v>
      </c>
    </row>
    <row r="4" spans="1:77" ht="193.5" customHeight="1">
      <c r="A4" s="289"/>
      <c r="B4" s="262"/>
      <c r="C4" s="52" t="s">
        <v>104</v>
      </c>
      <c r="D4" s="52" t="s">
        <v>88</v>
      </c>
      <c r="E4" s="276"/>
      <c r="F4" s="50" t="s">
        <v>80</v>
      </c>
      <c r="G4" s="50" t="s">
        <v>52</v>
      </c>
      <c r="H4" s="52" t="s">
        <v>86</v>
      </c>
      <c r="I4" s="52" t="s">
        <v>87</v>
      </c>
      <c r="J4" s="51" t="s">
        <v>82</v>
      </c>
      <c r="K4" s="52" t="s">
        <v>112</v>
      </c>
      <c r="L4" s="198" t="s">
        <v>81</v>
      </c>
      <c r="M4" s="50" t="s">
        <v>80</v>
      </c>
      <c r="N4" s="50" t="s">
        <v>52</v>
      </c>
      <c r="O4" s="52" t="s">
        <v>89</v>
      </c>
      <c r="P4" s="52" t="s">
        <v>90</v>
      </c>
      <c r="Q4" s="52"/>
      <c r="R4" s="51" t="s">
        <v>83</v>
      </c>
      <c r="S4" s="52" t="s">
        <v>76</v>
      </c>
      <c r="T4" s="198" t="s">
        <v>81</v>
      </c>
      <c r="U4" s="50" t="s">
        <v>80</v>
      </c>
      <c r="V4" s="50" t="s">
        <v>53</v>
      </c>
      <c r="W4" s="52" t="s">
        <v>89</v>
      </c>
      <c r="X4" s="52" t="s">
        <v>90</v>
      </c>
      <c r="Y4" s="51" t="s">
        <v>84</v>
      </c>
      <c r="Z4" s="52" t="s">
        <v>76</v>
      </c>
      <c r="AA4" s="198" t="s">
        <v>81</v>
      </c>
      <c r="AB4" s="50" t="s">
        <v>80</v>
      </c>
      <c r="AC4" s="50" t="s">
        <v>52</v>
      </c>
      <c r="AD4" s="52" t="s">
        <v>89</v>
      </c>
      <c r="AE4" s="52" t="s">
        <v>91</v>
      </c>
      <c r="AF4" s="51" t="s">
        <v>85</v>
      </c>
      <c r="AG4" s="52" t="s">
        <v>76</v>
      </c>
      <c r="AH4" s="198" t="s">
        <v>81</v>
      </c>
      <c r="AI4" s="307"/>
      <c r="AJ4" s="282"/>
      <c r="AK4" s="282"/>
      <c r="AL4" s="292"/>
      <c r="AM4" s="309"/>
      <c r="AN4" s="286"/>
      <c r="AO4" s="298"/>
      <c r="AP4" s="300"/>
      <c r="AQ4" s="263" t="s">
        <v>100</v>
      </c>
      <c r="AR4" s="264"/>
      <c r="AS4" s="265"/>
      <c r="AT4" s="286"/>
      <c r="AU4" s="302"/>
      <c r="AV4" s="282"/>
      <c r="AW4" s="292"/>
      <c r="AX4" s="282"/>
      <c r="AY4" s="286"/>
      <c r="AZ4" s="289"/>
      <c r="BA4" s="292"/>
      <c r="BB4" s="292"/>
      <c r="BC4" s="292"/>
      <c r="BD4" s="286"/>
      <c r="BE4" s="294"/>
      <c r="BF4" s="296"/>
      <c r="BG4" s="292"/>
      <c r="BH4" s="282"/>
      <c r="BI4" s="282"/>
      <c r="BJ4" s="286"/>
      <c r="BK4" s="263" t="s">
        <v>100</v>
      </c>
      <c r="BL4" s="264"/>
      <c r="BM4" s="265"/>
      <c r="BN4" s="286"/>
      <c r="BO4" s="289"/>
      <c r="BP4" s="286"/>
      <c r="BQ4" s="278"/>
      <c r="BR4" s="276"/>
      <c r="BS4" s="278"/>
      <c r="BT4" s="278"/>
      <c r="BU4" s="280"/>
      <c r="BV4" s="282"/>
      <c r="BW4" s="284"/>
      <c r="BX4" s="262"/>
      <c r="BY4" s="262"/>
    </row>
    <row r="5" spans="1:77" ht="12.75">
      <c r="A5" s="53"/>
      <c r="B5" s="82">
        <v>1</v>
      </c>
      <c r="C5" s="62" t="s">
        <v>15</v>
      </c>
      <c r="D5" s="58" t="s">
        <v>16</v>
      </c>
      <c r="E5" s="85">
        <v>2</v>
      </c>
      <c r="F5" s="57" t="s">
        <v>17</v>
      </c>
      <c r="G5" s="57" t="s">
        <v>18</v>
      </c>
      <c r="H5" s="58" t="s">
        <v>19</v>
      </c>
      <c r="I5" s="58" t="s">
        <v>20</v>
      </c>
      <c r="J5" s="54" t="s">
        <v>21</v>
      </c>
      <c r="K5" s="81" t="s">
        <v>22</v>
      </c>
      <c r="L5" s="82" t="s">
        <v>23</v>
      </c>
      <c r="M5" s="57" t="s">
        <v>26</v>
      </c>
      <c r="N5" s="57" t="s">
        <v>27</v>
      </c>
      <c r="O5" s="58" t="s">
        <v>28</v>
      </c>
      <c r="P5" s="58" t="s">
        <v>29</v>
      </c>
      <c r="Q5" s="58"/>
      <c r="R5" s="54" t="s">
        <v>30</v>
      </c>
      <c r="S5" s="81" t="s">
        <v>31</v>
      </c>
      <c r="T5" s="81" t="s">
        <v>32</v>
      </c>
      <c r="U5" s="57" t="s">
        <v>34</v>
      </c>
      <c r="V5" s="57" t="s">
        <v>35</v>
      </c>
      <c r="W5" s="58" t="s">
        <v>36</v>
      </c>
      <c r="X5" s="58" t="s">
        <v>37</v>
      </c>
      <c r="Y5" s="54" t="s">
        <v>38</v>
      </c>
      <c r="Z5" s="81" t="s">
        <v>39</v>
      </c>
      <c r="AA5" s="82" t="s">
        <v>40</v>
      </c>
      <c r="AB5" s="57" t="s">
        <v>42</v>
      </c>
      <c r="AC5" s="57" t="s">
        <v>43</v>
      </c>
      <c r="AD5" s="58" t="s">
        <v>44</v>
      </c>
      <c r="AE5" s="58" t="s">
        <v>45</v>
      </c>
      <c r="AF5" s="54" t="s">
        <v>46</v>
      </c>
      <c r="AG5" s="81" t="s">
        <v>47</v>
      </c>
      <c r="AH5" s="82" t="s">
        <v>48</v>
      </c>
      <c r="AI5" s="60">
        <v>8</v>
      </c>
      <c r="AJ5" s="56">
        <v>9</v>
      </c>
      <c r="AK5" s="54">
        <v>10</v>
      </c>
      <c r="AL5" s="58">
        <v>11</v>
      </c>
      <c r="AM5" s="58">
        <v>12</v>
      </c>
      <c r="AN5" s="59">
        <v>13</v>
      </c>
      <c r="AO5" s="61">
        <v>14</v>
      </c>
      <c r="AP5" s="56">
        <v>15</v>
      </c>
      <c r="AQ5" s="62">
        <v>16</v>
      </c>
      <c r="AR5" s="63">
        <v>17</v>
      </c>
      <c r="AS5" s="63">
        <v>18</v>
      </c>
      <c r="AT5" s="64">
        <v>19</v>
      </c>
      <c r="AU5" s="62">
        <v>20</v>
      </c>
      <c r="AV5" s="54">
        <v>21</v>
      </c>
      <c r="AW5" s="63">
        <v>22</v>
      </c>
      <c r="AX5" s="54">
        <v>23</v>
      </c>
      <c r="AY5" s="64">
        <v>24</v>
      </c>
      <c r="AZ5" s="62">
        <v>25</v>
      </c>
      <c r="BA5" s="58">
        <v>26</v>
      </c>
      <c r="BB5" s="58">
        <v>27</v>
      </c>
      <c r="BC5" s="58">
        <v>28</v>
      </c>
      <c r="BD5" s="55">
        <v>29</v>
      </c>
      <c r="BE5" s="65">
        <v>30</v>
      </c>
      <c r="BF5" s="79">
        <v>31</v>
      </c>
      <c r="BG5" s="58">
        <v>32</v>
      </c>
      <c r="BH5" s="58">
        <v>33</v>
      </c>
      <c r="BI5" s="58">
        <v>34</v>
      </c>
      <c r="BJ5" s="81">
        <v>35</v>
      </c>
      <c r="BK5" s="62">
        <v>36</v>
      </c>
      <c r="BL5" s="63">
        <v>37</v>
      </c>
      <c r="BM5" s="63">
        <v>38</v>
      </c>
      <c r="BN5" s="82">
        <v>39</v>
      </c>
      <c r="BO5" s="62">
        <v>40</v>
      </c>
      <c r="BP5" s="82">
        <v>41</v>
      </c>
      <c r="BQ5" s="83">
        <v>42</v>
      </c>
      <c r="BR5" s="84">
        <v>43</v>
      </c>
      <c r="BS5" s="81">
        <v>44</v>
      </c>
      <c r="BT5" s="83">
        <v>45</v>
      </c>
      <c r="BU5" s="85">
        <v>46</v>
      </c>
      <c r="BV5" s="58">
        <v>47</v>
      </c>
      <c r="BW5" s="58">
        <v>48</v>
      </c>
      <c r="BX5" s="58">
        <v>49</v>
      </c>
      <c r="BY5" s="58">
        <v>50</v>
      </c>
    </row>
    <row r="6" spans="1:77" ht="12.75">
      <c r="A6" s="4">
        <v>1</v>
      </c>
      <c r="B6" s="17" t="s">
        <v>8</v>
      </c>
      <c r="C6" s="10">
        <v>0</v>
      </c>
      <c r="D6" s="10">
        <v>3949</v>
      </c>
      <c r="E6" s="192">
        <v>3949</v>
      </c>
      <c r="F6" s="35">
        <f>IF(J$13&lt;0,(-J6/J$13)*($L$6/$E$13),((J6/J$13)*($L$6/$E$13)))</f>
        <v>1.157870648994962</v>
      </c>
      <c r="G6" s="35">
        <f>IF(K$13&lt;0,(-K6/K$13)*($L$6/$E$13),((K6/K$13)*($L$6/$E$13)))</f>
        <v>0.2646747237874211</v>
      </c>
      <c r="H6" s="6">
        <v>39467</v>
      </c>
      <c r="I6" s="6">
        <v>43057</v>
      </c>
      <c r="J6" s="36">
        <f>(H6*0.4+I6*0.6)/E6</f>
        <v>10.539630286148393</v>
      </c>
      <c r="K6" s="221">
        <v>5.61002786</v>
      </c>
      <c r="L6" s="266">
        <v>5940.7</v>
      </c>
      <c r="M6" s="35">
        <f aca="true" t="shared" si="0" ref="M6:N13">IF(R$13&lt;0,(-R6/R$13)*($T$6/$E$13),((R6/R$13)*($T$6/$E$13)))</f>
        <v>0.00010988503982100009</v>
      </c>
      <c r="N6" s="35">
        <f t="shared" si="0"/>
        <v>2.821246623986669E-06</v>
      </c>
      <c r="O6" s="6">
        <v>2</v>
      </c>
      <c r="P6" s="6">
        <v>0</v>
      </c>
      <c r="Q6" s="6"/>
      <c r="R6" s="36">
        <f aca="true" t="shared" si="1" ref="R6:R13">(O6*0.4+P6*0.6)/E6</f>
        <v>0.00020258293238794632</v>
      </c>
      <c r="S6" s="221">
        <v>0.00025323</v>
      </c>
      <c r="T6" s="269">
        <v>78</v>
      </c>
      <c r="U6" s="35">
        <f aca="true" t="shared" si="2" ref="U6:V13">IF(Y$13&lt;0,(-Y6/Y$13)*($AA$6/$E$13),((Y6/Y$13)*($AA$6/$E$13)))</f>
        <v>0.3533179513954111</v>
      </c>
      <c r="V6" s="35">
        <f t="shared" si="2"/>
        <v>-0.17586246284412269</v>
      </c>
      <c r="W6" s="6">
        <v>1497</v>
      </c>
      <c r="X6" s="6">
        <v>1214</v>
      </c>
      <c r="Y6" s="36">
        <f>(W6*0.4+X6*0.6)/E6</f>
        <v>0.33608508483160293</v>
      </c>
      <c r="Z6" s="225">
        <v>-0.02177767</v>
      </c>
      <c r="AA6" s="271">
        <v>1599.2</v>
      </c>
      <c r="AB6" s="35">
        <f aca="true" t="shared" si="3" ref="AB6:AC13">IF(AF$13&lt;0,(-AF6/AF$13)*($AH$6/$E$13),((AF6/AF$13)*($AH$6/$E$13)))</f>
        <v>0.7374044272018911</v>
      </c>
      <c r="AC6" s="35">
        <f t="shared" si="3"/>
        <v>0.15947679218413663</v>
      </c>
      <c r="AD6" s="6">
        <v>1718</v>
      </c>
      <c r="AE6" s="6">
        <v>2887</v>
      </c>
      <c r="AF6" s="36">
        <f aca="true" t="shared" si="4" ref="AF6:AF13">(AD6*0.4+AE6*0.6)/E6</f>
        <v>0.6126614332742467</v>
      </c>
      <c r="AG6" s="221">
        <v>0.4902507</v>
      </c>
      <c r="AH6" s="271">
        <v>5190.2</v>
      </c>
      <c r="AI6" s="38">
        <f>F6+M6+U6+AB6</f>
        <v>2.248702912632085</v>
      </c>
      <c r="AJ6" s="272">
        <f>BV$6/SUM(E6:E12)</f>
        <v>1.4738895281933255</v>
      </c>
      <c r="AK6" s="37">
        <f>G6+N6+V6+AC6</f>
        <v>0.248291874374059</v>
      </c>
      <c r="AL6" s="72">
        <v>1</v>
      </c>
      <c r="AM6" s="212">
        <v>0.00078346</v>
      </c>
      <c r="AN6" s="215">
        <f>IF(AM6=0,AL6,AL6*AM6)</f>
        <v>0.00078346</v>
      </c>
      <c r="AO6" s="19">
        <f>+(AI6/$AJ$6)+((AK6-AI6)/$AJ$6)*0.25*AN6</f>
        <v>1.5254271498081862</v>
      </c>
      <c r="AP6" s="24">
        <f>AO6/BU6</f>
        <v>1.4513788106194736</v>
      </c>
      <c r="AQ6" s="76">
        <v>0.4902</v>
      </c>
      <c r="AR6" s="77">
        <v>0.2815</v>
      </c>
      <c r="AS6" s="78">
        <v>0.2283</v>
      </c>
      <c r="AT6" s="25">
        <f>+IF(AND(AQ6&gt;0,AR6&gt;0,AS6&gt;0,AQ6+AR6+AS6=1),1,НЕВЕРНО)</f>
        <v>1</v>
      </c>
      <c r="AU6" s="26">
        <v>1.6</v>
      </c>
      <c r="AV6" s="248">
        <f>+SUMPRODUCT(AU6:AU12,E6:E12)/$E$13</f>
        <v>1.6</v>
      </c>
      <c r="AW6" s="126">
        <v>1</v>
      </c>
      <c r="AX6" s="248">
        <f>+SUMPRODUCT(AW6:AW12,E6:E12)/$E$13</f>
        <v>1</v>
      </c>
      <c r="AY6" s="39">
        <f aca="true" t="shared" si="5" ref="AY6:AY13">+(AU6+0.25*C6/E6)/($AV$6+0.25*SUM($C$6:$C$12)/SUM($E$6:$E$12)*(AW6/$AX$6))</f>
        <v>0.9214507016584654</v>
      </c>
      <c r="AZ6" s="48">
        <v>85.01</v>
      </c>
      <c r="BA6" s="8">
        <v>95.3</v>
      </c>
      <c r="BB6" s="168">
        <v>5.97</v>
      </c>
      <c r="BC6" s="8">
        <v>10.1</v>
      </c>
      <c r="BD6" s="40">
        <f>+(AZ6+BB6)/(BA6+BC6)</f>
        <v>0.8631878557874764</v>
      </c>
      <c r="BE6" s="94">
        <v>1.5</v>
      </c>
      <c r="BF6" s="126">
        <v>0</v>
      </c>
      <c r="BG6" s="30">
        <v>0</v>
      </c>
      <c r="BH6" s="20">
        <f>E6</f>
        <v>3949</v>
      </c>
      <c r="BI6" s="20">
        <f>+(1+BF6*BG6/BH6)/(1+BE6*SUM($BG$6:$BG$12)/SUM($BH$6:$BH$12))</f>
        <v>1</v>
      </c>
      <c r="BJ6" s="67">
        <f>+AQ6*BX6+AR6*BI6+AS6*BY6</f>
        <v>0.9302609214292606</v>
      </c>
      <c r="BK6" s="66">
        <v>0.5499</v>
      </c>
      <c r="BL6" s="47">
        <v>0.2561</v>
      </c>
      <c r="BM6" s="46">
        <v>0.194</v>
      </c>
      <c r="BN6" s="31">
        <f>+IF(AND(BK6&gt;0,BL6&gt;0,BM6&gt;0,BK6+BL6+BM6=1),1,НЕВЕРНО)</f>
        <v>1</v>
      </c>
      <c r="BO6" s="32">
        <v>7</v>
      </c>
      <c r="BP6" s="41">
        <f>0.2*SUM($E$6:$E$12)/BO6/E6+0.8</f>
        <v>0.8628730600875448</v>
      </c>
      <c r="BQ6" s="42">
        <f aca="true" t="shared" si="6" ref="BQ6:BQ12">+(1+D6/E6)/(1+SUM($D$6:$D$12)/SUM($E$6:$E$12))</f>
        <v>1.3751087902523933</v>
      </c>
      <c r="BR6" s="32">
        <v>0</v>
      </c>
      <c r="BS6" s="43">
        <f>(1+BR6/BH6)/(1+SUM($BR$6:$BR$12)/SUM($BH$6:$BH$12))</f>
        <v>0.9276259607173356</v>
      </c>
      <c r="BT6" s="44">
        <f>+BK6*BP6+BL6*BQ6+BM6*BS6</f>
        <v>1.006618693304942</v>
      </c>
      <c r="BU6" s="29">
        <f>+BJ6*BT6*SUM($E$6:$E$12)/SUMPRODUCT($BJ$6:$BJ$12,$BT$6:$BT$12,$E$6:$E$12)</f>
        <v>1.0510193056746553</v>
      </c>
      <c r="BV6" s="250">
        <f>L6+T6+AA6+AH6</f>
        <v>12808.099999999999</v>
      </c>
      <c r="BW6" s="71">
        <v>1</v>
      </c>
      <c r="BX6" s="176">
        <f>AY6/BW6</f>
        <v>0.9214507016584654</v>
      </c>
      <c r="BY6" s="176">
        <f>BD6/BW6</f>
        <v>0.8631878557874764</v>
      </c>
    </row>
    <row r="7" spans="1:77" ht="12.75">
      <c r="A7" s="5">
        <v>2</v>
      </c>
      <c r="B7" s="18" t="s">
        <v>9</v>
      </c>
      <c r="C7" s="10">
        <v>525</v>
      </c>
      <c r="D7" s="11"/>
      <c r="E7" s="192">
        <v>525</v>
      </c>
      <c r="F7" s="35">
        <f aca="true" t="shared" si="7" ref="F7:G13">IF(J$13&lt;0,(-J7/J$13)*($L$6/$E$13),((J7/J$13)*($L$6/$E$13)))</f>
        <v>0.4092186266227002</v>
      </c>
      <c r="G7" s="35">
        <f t="shared" si="7"/>
        <v>0.09579555363298768</v>
      </c>
      <c r="H7" s="7">
        <v>2015</v>
      </c>
      <c r="I7" s="7">
        <v>1916</v>
      </c>
      <c r="J7" s="36">
        <f aca="true" t="shared" si="8" ref="J7:J12">(H7*0.4+I7*0.6)/E7</f>
        <v>3.724952380952381</v>
      </c>
      <c r="K7" s="221">
        <v>2.03047619</v>
      </c>
      <c r="L7" s="267"/>
      <c r="M7" s="35">
        <f t="shared" si="0"/>
        <v>0.10538446254718856</v>
      </c>
      <c r="N7" s="35">
        <f t="shared" si="0"/>
        <v>0.007278815510012512</v>
      </c>
      <c r="O7" s="7">
        <v>150</v>
      </c>
      <c r="P7" s="7">
        <v>70</v>
      </c>
      <c r="Q7" s="6"/>
      <c r="R7" s="36">
        <f t="shared" si="1"/>
        <v>0.19428571428571428</v>
      </c>
      <c r="S7" s="221">
        <v>0.65333333</v>
      </c>
      <c r="T7" s="269"/>
      <c r="U7" s="35">
        <f t="shared" si="2"/>
        <v>0.008009716639745566</v>
      </c>
      <c r="V7" s="35">
        <f t="shared" si="2"/>
        <v>0</v>
      </c>
      <c r="W7" s="7">
        <v>19</v>
      </c>
      <c r="X7" s="7">
        <v>-6</v>
      </c>
      <c r="Y7" s="37">
        <f aca="true" t="shared" si="9" ref="Y7:Y13">(W7*0.4+X7*0.6)/E7</f>
        <v>0.007619047619047621</v>
      </c>
      <c r="Z7" s="225">
        <v>0</v>
      </c>
      <c r="AA7" s="271"/>
      <c r="AB7" s="35">
        <f t="shared" si="3"/>
        <v>1.3397880564776348</v>
      </c>
      <c r="AC7" s="35">
        <f t="shared" si="3"/>
        <v>0.10223601284019347</v>
      </c>
      <c r="AD7" s="7">
        <v>558</v>
      </c>
      <c r="AE7" s="7">
        <v>602</v>
      </c>
      <c r="AF7" s="37">
        <f t="shared" si="4"/>
        <v>1.113142857142857</v>
      </c>
      <c r="AG7" s="221">
        <v>0.31428571</v>
      </c>
      <c r="AH7" s="271"/>
      <c r="AI7" s="38">
        <f aca="true" t="shared" si="10" ref="AI7:AI12">F7+M7+U7+AB7</f>
        <v>1.8624008622872692</v>
      </c>
      <c r="AJ7" s="272"/>
      <c r="AK7" s="37">
        <f aca="true" t="shared" si="11" ref="AK7:AK12">G7+N7+V7+AC7</f>
        <v>0.20531038198319368</v>
      </c>
      <c r="AL7" s="73">
        <v>0.8</v>
      </c>
      <c r="AM7" s="213">
        <v>0</v>
      </c>
      <c r="AN7" s="216">
        <f aca="true" t="shared" si="12" ref="AN7:AN12">IF(AM7=0,AL7,AL7*AM7)</f>
        <v>0.8</v>
      </c>
      <c r="AO7" s="19">
        <f aca="true" t="shared" si="13" ref="AO7:AO13">+(AI7/$AJ$6)+((AK7-AI7)/$AJ$6)*0.25*AN7</f>
        <v>1.0387364432279484</v>
      </c>
      <c r="AP7" s="24">
        <f aca="true" t="shared" si="14" ref="AP7:AP12">AO7/BU7</f>
        <v>1.0123135416953486</v>
      </c>
      <c r="AQ7" s="76">
        <v>0.4902</v>
      </c>
      <c r="AR7" s="77">
        <v>0.2815</v>
      </c>
      <c r="AS7" s="78">
        <v>0.2283</v>
      </c>
      <c r="AT7" s="25">
        <f aca="true" t="shared" si="15" ref="AT7:AT12">+IF(AND(AQ7&gt;0,AR7&gt;0,AS7&gt;0,AQ7+AR7+AS7=1),1,НЕВЕРНО)</f>
        <v>1</v>
      </c>
      <c r="AU7" s="26">
        <v>1.6</v>
      </c>
      <c r="AV7" s="248"/>
      <c r="AW7" s="127">
        <v>1</v>
      </c>
      <c r="AX7" s="248"/>
      <c r="AY7" s="39">
        <f t="shared" si="5"/>
        <v>1.0654273737926006</v>
      </c>
      <c r="AZ7" s="49">
        <v>26.02</v>
      </c>
      <c r="BA7" s="8">
        <v>95.3</v>
      </c>
      <c r="BB7" s="169">
        <v>0</v>
      </c>
      <c r="BC7" s="8">
        <v>10.1</v>
      </c>
      <c r="BD7" s="40">
        <f aca="true" t="shared" si="16" ref="BD7:BD12">+(AZ7+BB7)/(BA7+BC7)</f>
        <v>0.24686907020872867</v>
      </c>
      <c r="BE7" s="95">
        <v>1.5</v>
      </c>
      <c r="BF7" s="127">
        <v>0</v>
      </c>
      <c r="BG7" s="23">
        <v>0</v>
      </c>
      <c r="BH7" s="20">
        <f aca="true" t="shared" si="17" ref="BH7:BH12">E7</f>
        <v>525</v>
      </c>
      <c r="BI7" s="20">
        <f aca="true" t="shared" si="18" ref="BI7:BI12">+(1+BF7*BG7/BH7)/(1+BE7*SUM($BG$6:$BG$12)/SUM($BH$6:$BH$12))</f>
        <v>1</v>
      </c>
      <c r="BJ7" s="67">
        <f aca="true" t="shared" si="19" ref="BJ7:BJ12">+AQ7*BX7+AR7*BI7+AS7*BY7</f>
        <v>0.8601327073617856</v>
      </c>
      <c r="BK7" s="66">
        <v>0.5499</v>
      </c>
      <c r="BL7" s="47">
        <v>0.2561</v>
      </c>
      <c r="BM7" s="46">
        <v>0.194</v>
      </c>
      <c r="BN7" s="27">
        <f aca="true" t="shared" si="20" ref="BN7:BN12">+IF(AND(BK7&gt;0,BL7&gt;0,BM7&gt;0,BK7+BL7+BM7=1),1,НЕВЕРНО)</f>
        <v>1</v>
      </c>
      <c r="BO7" s="28">
        <v>7</v>
      </c>
      <c r="BP7" s="41">
        <f aca="true" t="shared" si="21" ref="BP7:BP12">0.2*SUM($E$6:$E$12)/BO7/E7+0.8</f>
        <v>1.2729251700680273</v>
      </c>
      <c r="BQ7" s="42">
        <f t="shared" si="6"/>
        <v>0.6875543951261966</v>
      </c>
      <c r="BR7" s="28">
        <v>20</v>
      </c>
      <c r="BS7" s="43">
        <f aca="true" t="shared" si="22" ref="BS7:BS12">(1+BR7/BH7)/(1+SUM($BR$6:$BR$12)/SUM($BH$6:$BH$12))</f>
        <v>0.9629640925541866</v>
      </c>
      <c r="BT7" s="45">
        <f aca="true" t="shared" si="23" ref="BT7:BT12">+BK7*BP7+BL7*BQ7+BM7*BS7</f>
        <v>1.0628792655677395</v>
      </c>
      <c r="BU7" s="29">
        <f aca="true" t="shared" si="24" ref="BU7:BU12">+BJ7*BT7*SUM($E$6:$E$12)/SUMPRODUCT($BJ$6:$BJ$12,$BT$6:$BT$12,$E$6:$E$12)</f>
        <v>1.0261014996286117</v>
      </c>
      <c r="BV7" s="250"/>
      <c r="BW7" s="71">
        <v>1</v>
      </c>
      <c r="BX7" s="176">
        <f aca="true" t="shared" si="25" ref="BX7:BX12">AY7/BW7</f>
        <v>1.0654273737926006</v>
      </c>
      <c r="BY7" s="176">
        <f aca="true" t="shared" si="26" ref="BY7:BY12">BD7/BW7</f>
        <v>0.24686907020872867</v>
      </c>
    </row>
    <row r="8" spans="1:77" ht="12.75">
      <c r="A8" s="5">
        <v>3</v>
      </c>
      <c r="B8" s="18" t="s">
        <v>10</v>
      </c>
      <c r="C8" s="10">
        <v>937</v>
      </c>
      <c r="D8" s="11"/>
      <c r="E8" s="192">
        <v>937</v>
      </c>
      <c r="F8" s="35">
        <f t="shared" si="7"/>
        <v>0.29841248690625083</v>
      </c>
      <c r="G8" s="35">
        <f t="shared" si="7"/>
        <v>0.06767170627537614</v>
      </c>
      <c r="H8" s="7">
        <v>2583</v>
      </c>
      <c r="I8" s="7">
        <v>2520</v>
      </c>
      <c r="J8" s="36">
        <f t="shared" si="8"/>
        <v>2.7163287086446104</v>
      </c>
      <c r="K8" s="221">
        <v>1.43436499</v>
      </c>
      <c r="L8" s="267"/>
      <c r="M8" s="35">
        <f t="shared" si="0"/>
        <v>0</v>
      </c>
      <c r="N8" s="35">
        <f t="shared" si="0"/>
        <v>0</v>
      </c>
      <c r="O8" s="7">
        <v>0</v>
      </c>
      <c r="P8" s="7">
        <v>0</v>
      </c>
      <c r="Q8" s="6"/>
      <c r="R8" s="36">
        <f t="shared" si="1"/>
        <v>0</v>
      </c>
      <c r="S8" s="221">
        <v>0</v>
      </c>
      <c r="T8" s="269"/>
      <c r="U8" s="35">
        <f t="shared" si="2"/>
        <v>0.07001022335060424</v>
      </c>
      <c r="V8" s="35">
        <f t="shared" si="2"/>
        <v>0</v>
      </c>
      <c r="W8" s="7">
        <v>66</v>
      </c>
      <c r="X8" s="7">
        <v>60</v>
      </c>
      <c r="Y8" s="37">
        <f t="shared" si="9"/>
        <v>0.06659551760939168</v>
      </c>
      <c r="Z8" s="225">
        <v>0</v>
      </c>
      <c r="AA8" s="271"/>
      <c r="AB8" s="35">
        <f t="shared" si="3"/>
        <v>0.40848181504046716</v>
      </c>
      <c r="AC8" s="35">
        <f t="shared" si="3"/>
        <v>0.07533545389684666</v>
      </c>
      <c r="AD8" s="7">
        <v>225</v>
      </c>
      <c r="AE8" s="7">
        <v>380</v>
      </c>
      <c r="AF8" s="37">
        <f t="shared" si="4"/>
        <v>0.33938100320170755</v>
      </c>
      <c r="AG8" s="221">
        <v>0.23159018</v>
      </c>
      <c r="AH8" s="271"/>
      <c r="AI8" s="38">
        <f t="shared" si="10"/>
        <v>0.7769045252973222</v>
      </c>
      <c r="AJ8" s="272"/>
      <c r="AK8" s="37">
        <f t="shared" si="11"/>
        <v>0.1430071601722228</v>
      </c>
      <c r="AL8" s="73">
        <v>0.8</v>
      </c>
      <c r="AM8" s="213">
        <v>1.87E-06</v>
      </c>
      <c r="AN8" s="216">
        <f>IF(AM8=0,AL8,AL8*AM8)</f>
        <v>1.4960000000000002E-06</v>
      </c>
      <c r="AO8" s="19">
        <f t="shared" si="13"/>
        <v>0.5271116141058596</v>
      </c>
      <c r="AP8" s="24">
        <f t="shared" si="14"/>
        <v>0.5732159432953517</v>
      </c>
      <c r="AQ8" s="76">
        <v>0.4902</v>
      </c>
      <c r="AR8" s="77">
        <v>0.2815</v>
      </c>
      <c r="AS8" s="78">
        <v>0.2283</v>
      </c>
      <c r="AT8" s="25">
        <f t="shared" si="15"/>
        <v>1</v>
      </c>
      <c r="AU8" s="26">
        <v>1.6</v>
      </c>
      <c r="AV8" s="248"/>
      <c r="AW8" s="127">
        <v>1</v>
      </c>
      <c r="AX8" s="248"/>
      <c r="AY8" s="39">
        <f t="shared" si="5"/>
        <v>1.0654273737926006</v>
      </c>
      <c r="AZ8" s="49">
        <v>21.47</v>
      </c>
      <c r="BA8" s="8">
        <v>95.3</v>
      </c>
      <c r="BB8" s="169">
        <v>0</v>
      </c>
      <c r="BC8" s="8">
        <v>10.1</v>
      </c>
      <c r="BD8" s="40">
        <f t="shared" si="16"/>
        <v>0.2037001897533207</v>
      </c>
      <c r="BE8" s="95">
        <v>1.5</v>
      </c>
      <c r="BF8" s="127">
        <v>0</v>
      </c>
      <c r="BG8" s="23">
        <v>0</v>
      </c>
      <c r="BH8" s="20">
        <f t="shared" si="17"/>
        <v>937</v>
      </c>
      <c r="BI8" s="20">
        <f t="shared" si="18"/>
        <v>1</v>
      </c>
      <c r="BJ8" s="67">
        <f t="shared" si="19"/>
        <v>0.850277251953816</v>
      </c>
      <c r="BK8" s="66">
        <v>0.5499</v>
      </c>
      <c r="BL8" s="47">
        <v>0.2561</v>
      </c>
      <c r="BM8" s="46">
        <v>0.194</v>
      </c>
      <c r="BN8" s="27">
        <f t="shared" si="20"/>
        <v>1</v>
      </c>
      <c r="BO8" s="28">
        <v>7</v>
      </c>
      <c r="BP8" s="41">
        <f t="shared" si="21"/>
        <v>1.0649794175941456</v>
      </c>
      <c r="BQ8" s="42">
        <f t="shared" si="6"/>
        <v>0.6875543951261966</v>
      </c>
      <c r="BR8" s="28">
        <v>114</v>
      </c>
      <c r="BS8" s="43">
        <f t="shared" si="22"/>
        <v>1.040485469278463</v>
      </c>
      <c r="BT8" s="45">
        <f t="shared" si="23"/>
        <v>0.9635690433668616</v>
      </c>
      <c r="BU8" s="29">
        <f t="shared" si="24"/>
        <v>0.9195690040921686</v>
      </c>
      <c r="BV8" s="250"/>
      <c r="BW8" s="71">
        <v>1</v>
      </c>
      <c r="BX8" s="176">
        <f t="shared" si="25"/>
        <v>1.0654273737926006</v>
      </c>
      <c r="BY8" s="176">
        <f t="shared" si="26"/>
        <v>0.2037001897533207</v>
      </c>
    </row>
    <row r="9" spans="1:77" ht="12.75">
      <c r="A9" s="5">
        <v>4</v>
      </c>
      <c r="B9" s="18" t="s">
        <v>11</v>
      </c>
      <c r="C9" s="10">
        <v>919</v>
      </c>
      <c r="D9" s="11"/>
      <c r="E9" s="192">
        <v>919</v>
      </c>
      <c r="F9" s="35">
        <f t="shared" si="7"/>
        <v>0.2631828426740571</v>
      </c>
      <c r="G9" s="35">
        <f t="shared" si="7"/>
        <v>0.057959666962160476</v>
      </c>
      <c r="H9" s="7">
        <v>2120</v>
      </c>
      <c r="I9" s="7">
        <v>2256</v>
      </c>
      <c r="J9" s="36">
        <f t="shared" si="8"/>
        <v>2.3956474428726877</v>
      </c>
      <c r="K9" s="221">
        <v>1.22850925</v>
      </c>
      <c r="L9" s="267"/>
      <c r="M9" s="35">
        <f t="shared" si="0"/>
        <v>0.00578423968726968</v>
      </c>
      <c r="N9" s="35">
        <f t="shared" si="0"/>
        <v>0.00020609115788712348</v>
      </c>
      <c r="O9" s="7">
        <v>2</v>
      </c>
      <c r="P9" s="7">
        <v>15</v>
      </c>
      <c r="Q9" s="6"/>
      <c r="R9" s="36">
        <f t="shared" si="1"/>
        <v>0.010663764961915127</v>
      </c>
      <c r="S9" s="221">
        <v>0.01849837</v>
      </c>
      <c r="T9" s="269"/>
      <c r="U9" s="35">
        <f t="shared" si="2"/>
        <v>0.06177243382393546</v>
      </c>
      <c r="V9" s="35">
        <f t="shared" si="2"/>
        <v>0</v>
      </c>
      <c r="W9" s="7">
        <v>60</v>
      </c>
      <c r="X9" s="7">
        <v>50</v>
      </c>
      <c r="Y9" s="37">
        <f t="shared" si="9"/>
        <v>0.058759521218716</v>
      </c>
      <c r="Z9" s="225">
        <v>0</v>
      </c>
      <c r="AA9" s="271"/>
      <c r="AB9" s="35">
        <f t="shared" si="3"/>
        <v>0.3305666505118786</v>
      </c>
      <c r="AC9" s="35">
        <f t="shared" si="3"/>
        <v>0.051325332459844566</v>
      </c>
      <c r="AD9" s="7">
        <v>172</v>
      </c>
      <c r="AE9" s="7">
        <v>306</v>
      </c>
      <c r="AF9" s="37">
        <f t="shared" si="4"/>
        <v>0.2746463547334059</v>
      </c>
      <c r="AG9" s="221">
        <v>0.1577802</v>
      </c>
      <c r="AH9" s="271"/>
      <c r="AI9" s="38">
        <f t="shared" si="10"/>
        <v>0.6613061666971408</v>
      </c>
      <c r="AJ9" s="272"/>
      <c r="AK9" s="37">
        <f t="shared" si="11"/>
        <v>0.10949109057989218</v>
      </c>
      <c r="AL9" s="73">
        <v>0.8</v>
      </c>
      <c r="AM9" s="213">
        <v>0</v>
      </c>
      <c r="AN9" s="216">
        <f>IF(AM9=0,AL9,AL9*AM9)</f>
        <v>0.8</v>
      </c>
      <c r="AO9" s="19">
        <f t="shared" si="13"/>
        <v>0.3738022022240907</v>
      </c>
      <c r="AP9" s="24">
        <f t="shared" si="14"/>
        <v>0.39860597238703604</v>
      </c>
      <c r="AQ9" s="76">
        <v>0.4902</v>
      </c>
      <c r="AR9" s="77">
        <v>0.2815</v>
      </c>
      <c r="AS9" s="78">
        <v>0.2283</v>
      </c>
      <c r="AT9" s="25">
        <f t="shared" si="15"/>
        <v>1</v>
      </c>
      <c r="AU9" s="26">
        <v>1.6</v>
      </c>
      <c r="AV9" s="248"/>
      <c r="AW9" s="127">
        <v>1</v>
      </c>
      <c r="AX9" s="248"/>
      <c r="AY9" s="39">
        <f t="shared" si="5"/>
        <v>1.0654273737926006</v>
      </c>
      <c r="AZ9" s="49">
        <v>21.13</v>
      </c>
      <c r="BA9" s="8">
        <v>95.3</v>
      </c>
      <c r="BB9" s="169">
        <v>0</v>
      </c>
      <c r="BC9" s="8">
        <v>10.1</v>
      </c>
      <c r="BD9" s="40">
        <f t="shared" si="16"/>
        <v>0.20047438330170778</v>
      </c>
      <c r="BE9" s="95">
        <v>1.5</v>
      </c>
      <c r="BF9" s="127">
        <v>0</v>
      </c>
      <c r="BG9" s="23">
        <v>0</v>
      </c>
      <c r="BH9" s="20">
        <f t="shared" si="17"/>
        <v>919</v>
      </c>
      <c r="BI9" s="20">
        <f t="shared" si="18"/>
        <v>1</v>
      </c>
      <c r="BJ9" s="67">
        <f t="shared" si="19"/>
        <v>0.8495408003409127</v>
      </c>
      <c r="BK9" s="66">
        <v>0.5499</v>
      </c>
      <c r="BL9" s="47">
        <v>0.2561</v>
      </c>
      <c r="BM9" s="46">
        <v>0.194</v>
      </c>
      <c r="BN9" s="27">
        <f t="shared" si="20"/>
        <v>1</v>
      </c>
      <c r="BO9" s="28">
        <v>7</v>
      </c>
      <c r="BP9" s="41">
        <f t="shared" si="21"/>
        <v>1.0701694388310274</v>
      </c>
      <c r="BQ9" s="42">
        <f t="shared" si="6"/>
        <v>0.6875543951261966</v>
      </c>
      <c r="BR9" s="28">
        <v>199</v>
      </c>
      <c r="BS9" s="43">
        <f t="shared" si="22"/>
        <v>1.1284938238106432</v>
      </c>
      <c r="BT9" s="45">
        <f t="shared" si="23"/>
        <v>0.9834966568242658</v>
      </c>
      <c r="BU9" s="29">
        <f t="shared" si="24"/>
        <v>0.9377737116822186</v>
      </c>
      <c r="BV9" s="250"/>
      <c r="BW9" s="71">
        <v>1</v>
      </c>
      <c r="BX9" s="176">
        <f t="shared" si="25"/>
        <v>1.0654273737926006</v>
      </c>
      <c r="BY9" s="176">
        <f t="shared" si="26"/>
        <v>0.20047438330170778</v>
      </c>
    </row>
    <row r="10" spans="1:77" ht="12.75">
      <c r="A10" s="5">
        <v>5</v>
      </c>
      <c r="B10" s="18" t="s">
        <v>12</v>
      </c>
      <c r="C10" s="10">
        <v>989</v>
      </c>
      <c r="D10" s="11"/>
      <c r="E10" s="192">
        <v>989</v>
      </c>
      <c r="F10" s="35">
        <f t="shared" si="7"/>
        <v>0.21958421087762622</v>
      </c>
      <c r="G10" s="35">
        <f t="shared" si="7"/>
        <v>0.06191927316532913</v>
      </c>
      <c r="H10" s="7">
        <v>2080</v>
      </c>
      <c r="I10" s="7">
        <v>1908</v>
      </c>
      <c r="J10" s="36">
        <f t="shared" si="8"/>
        <v>1.9987866531850353</v>
      </c>
      <c r="K10" s="221">
        <v>1.3124368</v>
      </c>
      <c r="L10" s="267"/>
      <c r="M10" s="35">
        <f t="shared" si="0"/>
        <v>0</v>
      </c>
      <c r="N10" s="35">
        <f t="shared" si="0"/>
        <v>0</v>
      </c>
      <c r="O10" s="7">
        <v>0</v>
      </c>
      <c r="P10" s="7">
        <v>0</v>
      </c>
      <c r="Q10" s="6"/>
      <c r="R10" s="36">
        <f t="shared" si="1"/>
        <v>0</v>
      </c>
      <c r="S10" s="221">
        <v>0</v>
      </c>
      <c r="T10" s="269"/>
      <c r="U10" s="35">
        <f t="shared" si="2"/>
        <v>0.015944519347319594</v>
      </c>
      <c r="V10" s="35">
        <f t="shared" si="2"/>
        <v>-0.008165155107545908</v>
      </c>
      <c r="W10" s="7">
        <v>12</v>
      </c>
      <c r="X10" s="7">
        <v>17</v>
      </c>
      <c r="Y10" s="37">
        <f t="shared" si="9"/>
        <v>0.015166835187057633</v>
      </c>
      <c r="Z10" s="225">
        <v>-0.00101112</v>
      </c>
      <c r="AA10" s="271"/>
      <c r="AB10" s="35">
        <f t="shared" si="3"/>
        <v>0.15528860224868615</v>
      </c>
      <c r="AC10" s="35">
        <f t="shared" si="3"/>
        <v>0.025326413837942218</v>
      </c>
      <c r="AD10" s="7">
        <v>91</v>
      </c>
      <c r="AE10" s="7">
        <v>152</v>
      </c>
      <c r="AF10" s="37">
        <f t="shared" si="4"/>
        <v>0.12901921132457025</v>
      </c>
      <c r="AG10" s="221">
        <v>0.07785642</v>
      </c>
      <c r="AH10" s="271"/>
      <c r="AI10" s="38">
        <f t="shared" si="10"/>
        <v>0.39081733247363193</v>
      </c>
      <c r="AJ10" s="272"/>
      <c r="AK10" s="37">
        <f t="shared" si="11"/>
        <v>0.07908053189572543</v>
      </c>
      <c r="AL10" s="73">
        <v>0.8</v>
      </c>
      <c r="AM10" s="213">
        <v>5E-08</v>
      </c>
      <c r="AN10" s="216">
        <f>IF(AM10=0,AL10,AL10*AM10)</f>
        <v>4E-08</v>
      </c>
      <c r="AO10" s="19">
        <f t="shared" si="13"/>
        <v>0.26516053060999945</v>
      </c>
      <c r="AP10" s="24">
        <f t="shared" si="14"/>
        <v>0.2896202627128431</v>
      </c>
      <c r="AQ10" s="76">
        <v>0.4902</v>
      </c>
      <c r="AR10" s="77">
        <v>0.2815</v>
      </c>
      <c r="AS10" s="78">
        <v>0.2283</v>
      </c>
      <c r="AT10" s="25">
        <f t="shared" si="15"/>
        <v>1</v>
      </c>
      <c r="AU10" s="26">
        <v>1.6</v>
      </c>
      <c r="AV10" s="248"/>
      <c r="AW10" s="127">
        <v>1</v>
      </c>
      <c r="AX10" s="248"/>
      <c r="AY10" s="39">
        <f t="shared" si="5"/>
        <v>1.0654273737926006</v>
      </c>
      <c r="AZ10" s="49">
        <v>32.12</v>
      </c>
      <c r="BA10" s="8">
        <v>95.3</v>
      </c>
      <c r="BB10" s="169">
        <v>0</v>
      </c>
      <c r="BC10" s="8">
        <v>10.1</v>
      </c>
      <c r="BD10" s="40">
        <f t="shared" si="16"/>
        <v>0.3047438330170778</v>
      </c>
      <c r="BE10" s="95">
        <v>1.5</v>
      </c>
      <c r="BF10" s="127">
        <v>0</v>
      </c>
      <c r="BG10" s="23">
        <v>0</v>
      </c>
      <c r="BH10" s="20">
        <f t="shared" si="17"/>
        <v>989</v>
      </c>
      <c r="BI10" s="20">
        <f t="shared" si="18"/>
        <v>1</v>
      </c>
      <c r="BJ10" s="67">
        <f>+AQ10*BX10+AR10*BI10+AS10*BY10</f>
        <v>0.8733455157109317</v>
      </c>
      <c r="BK10" s="66">
        <v>0.5499</v>
      </c>
      <c r="BL10" s="47">
        <v>0.2561</v>
      </c>
      <c r="BM10" s="46">
        <v>0.194</v>
      </c>
      <c r="BN10" s="27">
        <f t="shared" si="20"/>
        <v>1</v>
      </c>
      <c r="BO10" s="28">
        <v>7</v>
      </c>
      <c r="BP10" s="41">
        <f t="shared" si="21"/>
        <v>1.051047233858154</v>
      </c>
      <c r="BQ10" s="42">
        <f t="shared" si="6"/>
        <v>0.6875543951261966</v>
      </c>
      <c r="BR10" s="28">
        <v>0</v>
      </c>
      <c r="BS10" s="43">
        <f t="shared" si="22"/>
        <v>0.9276259607173356</v>
      </c>
      <c r="BT10" s="45">
        <f t="shared" si="23"/>
        <v>0.934012990869581</v>
      </c>
      <c r="BU10" s="29">
        <f t="shared" si="24"/>
        <v>0.9155455081984532</v>
      </c>
      <c r="BV10" s="250"/>
      <c r="BW10" s="71">
        <v>1</v>
      </c>
      <c r="BX10" s="176">
        <f t="shared" si="25"/>
        <v>1.0654273737926006</v>
      </c>
      <c r="BY10" s="176">
        <f t="shared" si="26"/>
        <v>0.3047438330170778</v>
      </c>
    </row>
    <row r="11" spans="1:77" ht="12.75">
      <c r="A11" s="5">
        <v>6</v>
      </c>
      <c r="B11" s="18" t="s">
        <v>13</v>
      </c>
      <c r="C11" s="10">
        <v>846</v>
      </c>
      <c r="D11" s="11"/>
      <c r="E11" s="192">
        <v>846</v>
      </c>
      <c r="F11" s="35">
        <f t="shared" si="7"/>
        <v>0.27724401821846834</v>
      </c>
      <c r="G11" s="35">
        <f t="shared" si="7"/>
        <v>0.0709913590666041</v>
      </c>
      <c r="H11" s="7">
        <v>2291</v>
      </c>
      <c r="I11" s="7">
        <v>2031</v>
      </c>
      <c r="J11" s="36">
        <f t="shared" si="8"/>
        <v>2.523640661938534</v>
      </c>
      <c r="K11" s="221">
        <v>1.50472813</v>
      </c>
      <c r="L11" s="267"/>
      <c r="M11" s="35">
        <f t="shared" si="0"/>
        <v>0.020004142869825117</v>
      </c>
      <c r="N11" s="35">
        <f t="shared" si="0"/>
        <v>0.0014881063777663671</v>
      </c>
      <c r="O11" s="7">
        <v>78</v>
      </c>
      <c r="P11" s="7">
        <v>0</v>
      </c>
      <c r="Q11" s="6"/>
      <c r="R11" s="36">
        <f t="shared" si="1"/>
        <v>0.03687943262411348</v>
      </c>
      <c r="S11" s="221">
        <v>0.13356974</v>
      </c>
      <c r="T11" s="269"/>
      <c r="U11" s="35">
        <f t="shared" si="2"/>
        <v>0.03653368094990331</v>
      </c>
      <c r="V11" s="35">
        <f t="shared" si="2"/>
        <v>0</v>
      </c>
      <c r="W11" s="7">
        <v>30</v>
      </c>
      <c r="X11" s="7">
        <v>29</v>
      </c>
      <c r="Y11" s="37">
        <f t="shared" si="9"/>
        <v>0.03475177304964539</v>
      </c>
      <c r="Z11" s="225">
        <v>0</v>
      </c>
      <c r="AA11" s="271"/>
      <c r="AB11" s="35">
        <f t="shared" si="3"/>
        <v>0.5613993635957051</v>
      </c>
      <c r="AC11" s="35">
        <f t="shared" si="3"/>
        <v>0.07574869093696347</v>
      </c>
      <c r="AD11" s="7">
        <v>382</v>
      </c>
      <c r="AE11" s="7">
        <v>403</v>
      </c>
      <c r="AF11" s="37">
        <f t="shared" si="4"/>
        <v>0.46643026004728133</v>
      </c>
      <c r="AG11" s="221">
        <v>0.23286052</v>
      </c>
      <c r="AH11" s="271"/>
      <c r="AI11" s="38">
        <f t="shared" si="10"/>
        <v>0.8951812056339018</v>
      </c>
      <c r="AJ11" s="272"/>
      <c r="AK11" s="37">
        <f t="shared" si="11"/>
        <v>0.14822815638133394</v>
      </c>
      <c r="AL11" s="73">
        <v>0.8</v>
      </c>
      <c r="AM11" s="213">
        <v>7.7E-07</v>
      </c>
      <c r="AN11" s="216">
        <f t="shared" si="12"/>
        <v>6.160000000000001E-07</v>
      </c>
      <c r="AO11" s="19">
        <f t="shared" si="13"/>
        <v>0.6073596924868809</v>
      </c>
      <c r="AP11" s="24">
        <f t="shared" si="14"/>
        <v>0.6063680870957366</v>
      </c>
      <c r="AQ11" s="76">
        <v>0.4902</v>
      </c>
      <c r="AR11" s="77">
        <v>0.2815</v>
      </c>
      <c r="AS11" s="78">
        <v>0.2283</v>
      </c>
      <c r="AT11" s="25">
        <f t="shared" si="15"/>
        <v>1</v>
      </c>
      <c r="AU11" s="26">
        <v>1.6</v>
      </c>
      <c r="AV11" s="248"/>
      <c r="AW11" s="127">
        <v>1</v>
      </c>
      <c r="AX11" s="248"/>
      <c r="AY11" s="39">
        <f t="shared" si="5"/>
        <v>1.0654273737926006</v>
      </c>
      <c r="AZ11" s="49">
        <v>28.64</v>
      </c>
      <c r="BA11" s="8">
        <v>95.3</v>
      </c>
      <c r="BB11" s="169">
        <v>0</v>
      </c>
      <c r="BC11" s="8">
        <v>10.1</v>
      </c>
      <c r="BD11" s="40">
        <f t="shared" si="16"/>
        <v>0.2717267552182163</v>
      </c>
      <c r="BE11" s="95">
        <v>1.5</v>
      </c>
      <c r="BF11" s="127">
        <v>0</v>
      </c>
      <c r="BG11" s="23">
        <v>0</v>
      </c>
      <c r="BH11" s="20">
        <f t="shared" si="17"/>
        <v>846</v>
      </c>
      <c r="BI11" s="20">
        <f t="shared" si="18"/>
        <v>1</v>
      </c>
      <c r="BJ11" s="67">
        <f t="shared" si="19"/>
        <v>0.8658077168494516</v>
      </c>
      <c r="BK11" s="66">
        <v>0.5499</v>
      </c>
      <c r="BL11" s="47">
        <v>0.2561</v>
      </c>
      <c r="BM11" s="46">
        <v>0.194</v>
      </c>
      <c r="BN11" s="27">
        <f t="shared" si="20"/>
        <v>1</v>
      </c>
      <c r="BO11" s="28">
        <v>7</v>
      </c>
      <c r="BP11" s="41">
        <f t="shared" si="21"/>
        <v>1.0934819317798041</v>
      </c>
      <c r="BQ11" s="42">
        <f t="shared" si="6"/>
        <v>0.6875543951261966</v>
      </c>
      <c r="BR11" s="28">
        <v>345</v>
      </c>
      <c r="BS11" s="43">
        <f t="shared" si="22"/>
        <v>1.3059131432793696</v>
      </c>
      <c r="BT11" s="45">
        <f t="shared" si="23"/>
        <v>1.030735544673731</v>
      </c>
      <c r="BU11" s="29">
        <f t="shared" si="24"/>
        <v>1.001635319226468</v>
      </c>
      <c r="BV11" s="250"/>
      <c r="BW11" s="71">
        <v>1</v>
      </c>
      <c r="BX11" s="176">
        <f t="shared" si="25"/>
        <v>1.0654273737926006</v>
      </c>
      <c r="BY11" s="176">
        <f t="shared" si="26"/>
        <v>0.2717267552182163</v>
      </c>
    </row>
    <row r="12" spans="1:77" ht="13.5" thickBot="1">
      <c r="A12" s="5">
        <v>7</v>
      </c>
      <c r="B12" s="18" t="s">
        <v>14</v>
      </c>
      <c r="C12" s="10">
        <v>525</v>
      </c>
      <c r="D12" s="11"/>
      <c r="E12" s="192">
        <v>525</v>
      </c>
      <c r="F12" s="86">
        <f t="shared" si="7"/>
        <v>0.34330337432869806</v>
      </c>
      <c r="G12" s="35">
        <f t="shared" si="7"/>
        <v>0.06461257326662305</v>
      </c>
      <c r="H12" s="7">
        <v>1709</v>
      </c>
      <c r="I12" s="7">
        <v>1595</v>
      </c>
      <c r="J12" s="36">
        <f t="shared" si="8"/>
        <v>3.1249523809523807</v>
      </c>
      <c r="K12" s="221">
        <v>1.36952381</v>
      </c>
      <c r="L12" s="267"/>
      <c r="M12" s="86">
        <f t="shared" si="0"/>
        <v>0</v>
      </c>
      <c r="N12" s="86">
        <f t="shared" si="0"/>
        <v>0</v>
      </c>
      <c r="O12" s="7">
        <v>0</v>
      </c>
      <c r="P12" s="7">
        <v>0</v>
      </c>
      <c r="Q12" s="6"/>
      <c r="R12" s="36">
        <f t="shared" si="1"/>
        <v>0</v>
      </c>
      <c r="S12" s="223">
        <v>0</v>
      </c>
      <c r="T12" s="269"/>
      <c r="U12" s="86">
        <f t="shared" si="2"/>
        <v>0.05847093147014263</v>
      </c>
      <c r="V12" s="86">
        <f t="shared" si="2"/>
        <v>0</v>
      </c>
      <c r="W12" s="7">
        <v>34</v>
      </c>
      <c r="X12" s="7">
        <v>26</v>
      </c>
      <c r="Y12" s="37">
        <f t="shared" si="9"/>
        <v>0.055619047619047624</v>
      </c>
      <c r="Z12" s="225">
        <v>0</v>
      </c>
      <c r="AA12" s="271"/>
      <c r="AB12" s="86">
        <f t="shared" si="3"/>
        <v>0.4947403535042327</v>
      </c>
      <c r="AC12" s="86">
        <f t="shared" si="3"/>
        <v>0.10781252363693837</v>
      </c>
      <c r="AD12" s="7">
        <v>181</v>
      </c>
      <c r="AE12" s="7">
        <v>239</v>
      </c>
      <c r="AF12" s="37">
        <f t="shared" si="4"/>
        <v>0.41104761904761905</v>
      </c>
      <c r="AG12" s="223">
        <v>0.33142857</v>
      </c>
      <c r="AH12" s="271"/>
      <c r="AI12" s="38">
        <f t="shared" si="10"/>
        <v>0.8965146593030734</v>
      </c>
      <c r="AJ12" s="272"/>
      <c r="AK12" s="37">
        <f t="shared" si="11"/>
        <v>0.17242509690356142</v>
      </c>
      <c r="AL12" s="73">
        <v>0.8</v>
      </c>
      <c r="AM12" s="213">
        <v>7E-08</v>
      </c>
      <c r="AN12" s="216">
        <f t="shared" si="12"/>
        <v>5.6000000000000005E-08</v>
      </c>
      <c r="AO12" s="19">
        <f t="shared" si="13"/>
        <v>0.6082644811682429</v>
      </c>
      <c r="AP12" s="147">
        <f t="shared" si="14"/>
        <v>0.6088289072653221</v>
      </c>
      <c r="AQ12" s="76">
        <v>0.4902</v>
      </c>
      <c r="AR12" s="77">
        <v>0.2815</v>
      </c>
      <c r="AS12" s="78">
        <v>0.2283</v>
      </c>
      <c r="AT12" s="150">
        <f t="shared" si="15"/>
        <v>1</v>
      </c>
      <c r="AU12" s="107">
        <v>1.6</v>
      </c>
      <c r="AV12" s="248"/>
      <c r="AW12" s="127">
        <v>1</v>
      </c>
      <c r="AX12" s="248"/>
      <c r="AY12" s="39">
        <f t="shared" si="5"/>
        <v>1.0654273737926006</v>
      </c>
      <c r="AZ12" s="49">
        <v>18.07</v>
      </c>
      <c r="BA12" s="8">
        <v>95.3</v>
      </c>
      <c r="BB12" s="169">
        <v>0</v>
      </c>
      <c r="BC12" s="8">
        <v>10.1</v>
      </c>
      <c r="BD12" s="40">
        <f t="shared" si="16"/>
        <v>0.17144212523719166</v>
      </c>
      <c r="BE12" s="95">
        <v>1.5</v>
      </c>
      <c r="BF12" s="127">
        <v>0</v>
      </c>
      <c r="BG12" s="23">
        <v>0</v>
      </c>
      <c r="BH12" s="20">
        <f t="shared" si="17"/>
        <v>525</v>
      </c>
      <c r="BI12" s="69">
        <f t="shared" si="18"/>
        <v>1</v>
      </c>
      <c r="BJ12" s="67">
        <f t="shared" si="19"/>
        <v>0.8429127358247837</v>
      </c>
      <c r="BK12" s="66">
        <v>0.5499</v>
      </c>
      <c r="BL12" s="47">
        <v>0.2561</v>
      </c>
      <c r="BM12" s="46">
        <v>0.194</v>
      </c>
      <c r="BN12" s="27">
        <f t="shared" si="20"/>
        <v>1</v>
      </c>
      <c r="BO12" s="70">
        <v>7</v>
      </c>
      <c r="BP12" s="41">
        <f t="shared" si="21"/>
        <v>1.2729251700680273</v>
      </c>
      <c r="BQ12" s="42">
        <f t="shared" si="6"/>
        <v>0.6875543951261966</v>
      </c>
      <c r="BR12" s="28">
        <v>0</v>
      </c>
      <c r="BS12" s="43">
        <f t="shared" si="22"/>
        <v>0.9276259607173356</v>
      </c>
      <c r="BT12" s="45">
        <f t="shared" si="23"/>
        <v>1.0560236679913904</v>
      </c>
      <c r="BU12" s="29">
        <f t="shared" si="24"/>
        <v>0.9990729315077788</v>
      </c>
      <c r="BV12" s="250"/>
      <c r="BW12" s="71">
        <v>1</v>
      </c>
      <c r="BX12" s="176">
        <f t="shared" si="25"/>
        <v>1.0654273737926006</v>
      </c>
      <c r="BY12" s="176">
        <f t="shared" si="26"/>
        <v>0.17144212523719166</v>
      </c>
    </row>
    <row r="13" spans="1:77" ht="13.5" thickBot="1">
      <c r="A13" s="12"/>
      <c r="B13" s="14"/>
      <c r="C13" s="12">
        <f>SUM(C7:C12)</f>
        <v>4741</v>
      </c>
      <c r="D13" s="13">
        <f>SUM(D6:D12)</f>
        <v>3949</v>
      </c>
      <c r="E13" s="16">
        <f>SUM(E6:E12)</f>
        <v>8690</v>
      </c>
      <c r="F13" s="75">
        <f t="shared" si="7"/>
        <v>0.6836248561565017</v>
      </c>
      <c r="G13" s="93">
        <f t="shared" si="7"/>
        <v>0.6836248561565017</v>
      </c>
      <c r="H13" s="15">
        <f>SUM(H6:H12)</f>
        <v>52265</v>
      </c>
      <c r="I13" s="13">
        <f>SUM(I6:I12)</f>
        <v>55283</v>
      </c>
      <c r="J13" s="90">
        <f>(H13*0.4+I13*0.6)/E13</f>
        <v>6.222761795166858</v>
      </c>
      <c r="K13" s="222">
        <f>SUM(K6:K12)</f>
        <v>14.49006703</v>
      </c>
      <c r="L13" s="268"/>
      <c r="M13" s="91">
        <f t="shared" si="0"/>
        <v>0.00897583429228999</v>
      </c>
      <c r="N13" s="92">
        <f t="shared" si="0"/>
        <v>0.00897583429228999</v>
      </c>
      <c r="O13" s="15">
        <f>SUM(O6:O12)</f>
        <v>232</v>
      </c>
      <c r="P13" s="13">
        <f>SUM(P6:P12)</f>
        <v>85</v>
      </c>
      <c r="Q13" s="232"/>
      <c r="R13" s="87">
        <f t="shared" si="1"/>
        <v>0.016547756041426928</v>
      </c>
      <c r="S13" s="224">
        <f>SUM(S6:S12)</f>
        <v>0.80565467</v>
      </c>
      <c r="T13" s="270"/>
      <c r="U13" s="75">
        <f t="shared" si="2"/>
        <v>0.18402761795166858</v>
      </c>
      <c r="V13" s="93">
        <f t="shared" si="2"/>
        <v>-0.18402761795166858</v>
      </c>
      <c r="W13" s="15">
        <f>SUM(W6:W12)</f>
        <v>1718</v>
      </c>
      <c r="X13" s="13">
        <f>SUM(X6:X12)</f>
        <v>1390</v>
      </c>
      <c r="Y13" s="87">
        <f t="shared" si="9"/>
        <v>0.1750517836593786</v>
      </c>
      <c r="Z13" s="226">
        <f>SUM(Z6:Z12)</f>
        <v>-0.02278879</v>
      </c>
      <c r="AA13" s="268"/>
      <c r="AB13" s="91">
        <f t="shared" si="3"/>
        <v>0.5972612197928654</v>
      </c>
      <c r="AC13" s="92">
        <f t="shared" si="3"/>
        <v>0.5972612197928654</v>
      </c>
      <c r="AD13" s="15">
        <f>SUM(AD6:AD12)</f>
        <v>3327</v>
      </c>
      <c r="AE13" s="13">
        <f>SUM(AE6:AE12)</f>
        <v>4969</v>
      </c>
      <c r="AF13" s="87">
        <f t="shared" si="4"/>
        <v>0.4962255466052935</v>
      </c>
      <c r="AG13" s="224">
        <f>SUM(AG6:AG12)</f>
        <v>1.8360523</v>
      </c>
      <c r="AH13" s="268"/>
      <c r="AI13" s="74">
        <f>F13+M13+U13+AB13</f>
        <v>1.4738895281933257</v>
      </c>
      <c r="AJ13" s="273"/>
      <c r="AK13" s="37">
        <f>G13+N13+V13+AC13</f>
        <v>1.1058342922899884</v>
      </c>
      <c r="AL13" s="15">
        <v>1</v>
      </c>
      <c r="AM13" s="214">
        <f>SUM(AM6:AM12)</f>
        <v>0.00078622</v>
      </c>
      <c r="AN13" s="117">
        <f>IF(AM13=0,AL13,AL13*AM13)</f>
        <v>0.00078622</v>
      </c>
      <c r="AO13" s="19">
        <f t="shared" si="13"/>
        <v>0.9999509168797872</v>
      </c>
      <c r="AP13" s="143"/>
      <c r="AQ13" s="91"/>
      <c r="AR13" s="148"/>
      <c r="AS13" s="149"/>
      <c r="AT13" s="151">
        <v>1</v>
      </c>
      <c r="AU13" s="108">
        <v>1.6</v>
      </c>
      <c r="AV13" s="274"/>
      <c r="AW13" s="22">
        <v>1</v>
      </c>
      <c r="AX13" s="249"/>
      <c r="AY13" s="92">
        <f t="shared" si="5"/>
        <v>1</v>
      </c>
      <c r="AZ13" s="118"/>
      <c r="BA13" s="119"/>
      <c r="BB13" s="170"/>
      <c r="BC13" s="119"/>
      <c r="BD13" s="128"/>
      <c r="BE13" s="88">
        <v>1.5</v>
      </c>
      <c r="BF13" s="80">
        <v>0</v>
      </c>
      <c r="BG13" s="68">
        <v>0</v>
      </c>
      <c r="BH13" s="120">
        <f>+D13+C13</f>
        <v>8690</v>
      </c>
      <c r="BI13" s="121">
        <f>+(1+BF13*BG13/BH13)/(1+BE13*SUM($BG$6:$BG$12)/SUM($BH$6:$BH$12))</f>
        <v>1</v>
      </c>
      <c r="BJ13" s="122"/>
      <c r="BK13" s="144"/>
      <c r="BL13" s="145"/>
      <c r="BM13" s="146"/>
      <c r="BN13" s="152"/>
      <c r="BO13" s="123">
        <v>7</v>
      </c>
      <c r="BP13" s="124"/>
      <c r="BQ13" s="122"/>
      <c r="BR13" s="125">
        <f>SUM(BR6:BR12)</f>
        <v>678</v>
      </c>
      <c r="BS13" s="143"/>
      <c r="BT13" s="92"/>
      <c r="BU13" s="93"/>
      <c r="BV13" s="251"/>
      <c r="BW13" s="175"/>
      <c r="BX13" s="176"/>
      <c r="BY13" s="175"/>
    </row>
    <row r="14" spans="1:83" ht="12.75">
      <c r="A14" s="33"/>
      <c r="B14" s="33"/>
      <c r="C14" s="33"/>
      <c r="D14" s="33"/>
      <c r="E14" s="33"/>
      <c r="F14" s="102"/>
      <c r="G14" s="102"/>
      <c r="H14" s="33"/>
      <c r="I14" s="33"/>
      <c r="J14" s="102"/>
      <c r="K14" s="102"/>
      <c r="L14" s="9"/>
      <c r="M14" s="100"/>
      <c r="N14" s="100"/>
      <c r="O14" s="33"/>
      <c r="P14" s="33"/>
      <c r="Q14" s="33"/>
      <c r="R14" s="102"/>
      <c r="S14" s="102"/>
      <c r="T14" s="9"/>
      <c r="U14" s="102"/>
      <c r="V14" s="102"/>
      <c r="W14" s="33"/>
      <c r="X14" s="33"/>
      <c r="Y14" s="102"/>
      <c r="Z14" s="102"/>
      <c r="AA14" s="9"/>
      <c r="AB14" s="100"/>
      <c r="AC14" s="100"/>
      <c r="AD14" s="33"/>
      <c r="AE14" s="33"/>
      <c r="AF14" s="102"/>
      <c r="AG14" s="102"/>
      <c r="AH14" s="9"/>
      <c r="AI14" s="102"/>
      <c r="AJ14" s="206"/>
      <c r="AK14" s="100"/>
      <c r="AL14" s="33"/>
      <c r="AM14" s="102"/>
      <c r="AN14" s="103"/>
      <c r="AO14" s="102"/>
      <c r="AP14" s="100"/>
      <c r="AQ14" s="100"/>
      <c r="AR14" s="100"/>
      <c r="AS14" s="181"/>
      <c r="AT14" s="104"/>
      <c r="AU14" s="182"/>
      <c r="AV14" s="105"/>
      <c r="AW14" s="182"/>
      <c r="AX14" s="105"/>
      <c r="AY14" s="100"/>
      <c r="AZ14" s="183"/>
      <c r="BA14" s="183"/>
      <c r="BB14" s="183"/>
      <c r="BC14" s="183"/>
      <c r="BD14" s="100"/>
      <c r="BE14" s="104"/>
      <c r="BF14" s="9"/>
      <c r="BG14" s="9"/>
      <c r="BH14" s="9"/>
      <c r="BI14" s="9"/>
      <c r="BJ14" s="101"/>
      <c r="BK14" s="184"/>
      <c r="BL14" s="101"/>
      <c r="BM14" s="184"/>
      <c r="BN14" s="106"/>
      <c r="BO14" s="177"/>
      <c r="BP14" s="101"/>
      <c r="BQ14" s="101"/>
      <c r="BR14" s="177"/>
      <c r="BS14" s="100"/>
      <c r="BT14" s="100"/>
      <c r="BU14" s="102"/>
      <c r="BV14" s="207"/>
      <c r="BW14" s="34"/>
      <c r="BX14" s="34"/>
      <c r="BY14" s="34"/>
      <c r="BZ14" s="217"/>
      <c r="CA14" s="217"/>
      <c r="CB14" s="217"/>
      <c r="CC14" s="217"/>
      <c r="CD14" s="217"/>
      <c r="CE14" s="217"/>
    </row>
    <row r="15" spans="1:77" ht="12.75">
      <c r="A15" s="211" t="s">
        <v>145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167"/>
      <c r="BB15" s="167"/>
      <c r="BC15" s="167"/>
      <c r="BD15" s="167"/>
      <c r="BE15" s="3"/>
      <c r="BF15" s="3"/>
      <c r="BG15" s="3"/>
      <c r="BH15" s="3"/>
      <c r="BI15" s="3"/>
      <c r="BJ15" s="167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1"/>
      <c r="BV15" s="3"/>
      <c r="BW15" s="3"/>
      <c r="BX15" s="3"/>
      <c r="BY15" s="3"/>
    </row>
    <row r="16" spans="1:77" ht="12.75">
      <c r="A16" s="211" t="s">
        <v>146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167"/>
      <c r="BB16" s="167"/>
      <c r="BC16" s="167"/>
      <c r="BD16" s="167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1"/>
      <c r="BV16" s="3"/>
      <c r="BW16" s="3"/>
      <c r="BX16" s="3"/>
      <c r="BY16" s="3"/>
    </row>
    <row r="17" spans="1:7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1"/>
      <c r="BV17" s="3"/>
      <c r="BW17" s="3"/>
      <c r="BX17" s="3"/>
      <c r="BY17" s="3"/>
    </row>
    <row r="18" spans="1:7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1"/>
      <c r="BV18" s="3"/>
      <c r="BW18" s="3"/>
      <c r="BX18" s="3"/>
      <c r="BY18" s="3"/>
    </row>
    <row r="19" spans="1:77" ht="12.75">
      <c r="A19" s="3"/>
      <c r="B19" s="3"/>
      <c r="C19" s="1"/>
      <c r="D19" s="3"/>
      <c r="E19" s="3"/>
      <c r="F19" s="3"/>
      <c r="G19" s="3"/>
      <c r="H19" s="3"/>
      <c r="I19" s="3"/>
      <c r="J19" s="3"/>
      <c r="K19" s="89"/>
      <c r="L19" s="228" t="s">
        <v>152</v>
      </c>
      <c r="M19" s="3"/>
      <c r="N19" s="3"/>
      <c r="O19" s="3"/>
      <c r="P19" s="3"/>
      <c r="Q19" s="3"/>
      <c r="R19" s="3"/>
      <c r="S19" s="89"/>
      <c r="T19" s="3"/>
      <c r="U19" s="3"/>
      <c r="V19" s="3"/>
      <c r="W19" s="3"/>
      <c r="X19" s="3"/>
      <c r="Y19" s="3"/>
      <c r="Z19" s="89"/>
      <c r="AA19" s="3"/>
      <c r="AB19" s="3"/>
      <c r="AC19" s="3"/>
      <c r="AD19" s="3"/>
      <c r="AE19" s="3"/>
      <c r="AF19" s="3"/>
      <c r="AG19" s="89"/>
      <c r="AH19" s="3"/>
      <c r="AI19" s="3"/>
      <c r="AJ19" s="3"/>
      <c r="AK19" s="3"/>
      <c r="AL19" s="3"/>
      <c r="AM19" s="3"/>
      <c r="AN19" s="3"/>
      <c r="AO19" s="1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109"/>
      <c r="BK19" s="3"/>
      <c r="BL19" s="3"/>
      <c r="BM19" s="3"/>
      <c r="BN19" s="3"/>
      <c r="BO19" s="3"/>
      <c r="BP19" s="3"/>
      <c r="BQ19" s="3"/>
      <c r="BR19" s="3"/>
      <c r="BS19" s="3"/>
      <c r="BT19" s="109"/>
      <c r="BU19" s="1"/>
      <c r="BV19" s="3"/>
      <c r="BW19" s="3"/>
      <c r="BX19" s="3"/>
      <c r="BY19" s="3"/>
    </row>
    <row r="20" spans="1:77" ht="12.75">
      <c r="A20" s="3"/>
      <c r="B20" s="3"/>
      <c r="C20" s="3"/>
      <c r="D20" s="3"/>
      <c r="E20" s="3"/>
      <c r="F20" s="3"/>
      <c r="G20" s="129" t="s">
        <v>67</v>
      </c>
      <c r="I20" s="3"/>
      <c r="J20" s="3"/>
      <c r="K20" s="3"/>
      <c r="L20" s="3" t="s">
        <v>69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29"/>
      <c r="AR20" s="3"/>
      <c r="AS20" s="3"/>
      <c r="AT20" s="3"/>
      <c r="AU20" s="3"/>
      <c r="AV20" s="3"/>
      <c r="AW20" s="3"/>
      <c r="AX20" s="3"/>
      <c r="AY20" s="3"/>
      <c r="AZ20" s="110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1"/>
      <c r="BV20" s="3"/>
      <c r="BW20" s="3"/>
      <c r="BX20" s="3"/>
      <c r="BY20" s="3"/>
    </row>
    <row r="21" spans="1:77" ht="12.75">
      <c r="A21" s="3"/>
      <c r="B21" s="3"/>
      <c r="C21" s="3"/>
      <c r="D21" t="s">
        <v>70</v>
      </c>
      <c r="K21" s="3"/>
      <c r="L21" s="3"/>
      <c r="M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1"/>
      <c r="BV21" s="3"/>
      <c r="BW21" s="3"/>
      <c r="BX21" s="3"/>
      <c r="BY21" s="3"/>
    </row>
    <row r="22" spans="1:77" ht="12.75">
      <c r="A22" s="3"/>
      <c r="B22" s="3"/>
      <c r="C22" s="3"/>
      <c r="D22" s="217"/>
      <c r="E22" s="217"/>
      <c r="F22" s="217"/>
      <c r="G22" s="217"/>
      <c r="H22" s="217"/>
      <c r="J22" s="217"/>
      <c r="K22" s="3"/>
      <c r="L22" s="3"/>
      <c r="M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1"/>
      <c r="BV22" s="3"/>
      <c r="BW22" s="3"/>
      <c r="BX22" s="3"/>
      <c r="BY22" s="3"/>
    </row>
    <row r="23" spans="1:77" ht="128.25">
      <c r="A23" s="191"/>
      <c r="B23" s="197" t="s">
        <v>127</v>
      </c>
      <c r="C23" s="196" t="s">
        <v>78</v>
      </c>
      <c r="D23" s="196" t="s">
        <v>114</v>
      </c>
      <c r="E23" s="196" t="s">
        <v>113</v>
      </c>
      <c r="F23" s="195" t="s">
        <v>128</v>
      </c>
      <c r="G23" s="195" t="s">
        <v>140</v>
      </c>
      <c r="H23" s="195" t="s">
        <v>129</v>
      </c>
      <c r="I23" s="113"/>
      <c r="J23" s="202" t="s">
        <v>124</v>
      </c>
      <c r="K23" s="197" t="s">
        <v>123</v>
      </c>
      <c r="L23" s="199" t="s">
        <v>115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1"/>
      <c r="BV23" s="3"/>
      <c r="BW23" s="3"/>
      <c r="BX23" s="3"/>
      <c r="BY23" s="3"/>
    </row>
    <row r="24" spans="1:77" ht="12.75">
      <c r="A24" s="204"/>
      <c r="B24" s="71"/>
      <c r="C24" s="116" t="s">
        <v>119</v>
      </c>
      <c r="D24" s="116" t="s">
        <v>68</v>
      </c>
      <c r="E24" s="116" t="s">
        <v>120</v>
      </c>
      <c r="F24" s="116" t="s">
        <v>121</v>
      </c>
      <c r="G24" s="116" t="s">
        <v>122</v>
      </c>
      <c r="H24" s="201" t="s">
        <v>121</v>
      </c>
      <c r="I24" s="71"/>
      <c r="J24" s="116" t="s">
        <v>142</v>
      </c>
      <c r="K24" s="116" t="s">
        <v>71</v>
      </c>
      <c r="L24" s="158" t="s">
        <v>141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"/>
      <c r="AP24" s="3"/>
      <c r="AQ24" s="3"/>
      <c r="AR24" s="3"/>
      <c r="AS24" s="89"/>
      <c r="AT24" s="89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1"/>
      <c r="BV24" s="3"/>
      <c r="BW24" s="3"/>
      <c r="BX24" s="3"/>
      <c r="BY24" s="3"/>
    </row>
    <row r="25" spans="1:77" ht="12.75">
      <c r="A25" s="205"/>
      <c r="B25" s="71"/>
      <c r="C25" s="140">
        <v>1</v>
      </c>
      <c r="D25" s="161">
        <v>2</v>
      </c>
      <c r="E25" s="162">
        <v>3</v>
      </c>
      <c r="F25" s="162">
        <v>4</v>
      </c>
      <c r="G25" s="140">
        <v>5</v>
      </c>
      <c r="H25" s="161">
        <v>6</v>
      </c>
      <c r="I25" s="140">
        <v>7</v>
      </c>
      <c r="J25" s="140">
        <v>8</v>
      </c>
      <c r="K25" s="140">
        <v>9</v>
      </c>
      <c r="L25" s="163">
        <v>10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"/>
      <c r="AP25" s="3"/>
      <c r="AQ25" s="3"/>
      <c r="AR25" s="3"/>
      <c r="AS25" s="89"/>
      <c r="AT25" s="89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1"/>
      <c r="BV25" s="3"/>
      <c r="BW25" s="3"/>
      <c r="BX25" s="3"/>
      <c r="BY25" s="3"/>
    </row>
    <row r="26" spans="1:77" ht="12.75">
      <c r="A26" s="4">
        <v>1</v>
      </c>
      <c r="B26" s="17" t="s">
        <v>8</v>
      </c>
      <c r="C26" s="153">
        <f aca="true" t="shared" si="27" ref="C26:C32">AP6</f>
        <v>1.4513788106194736</v>
      </c>
      <c r="D26" s="111">
        <v>0</v>
      </c>
      <c r="E26" s="188">
        <f>BV6</f>
        <v>12808.099999999999</v>
      </c>
      <c r="F26" s="185">
        <f>E13</f>
        <v>8690</v>
      </c>
      <c r="G26" s="153">
        <f aca="true" t="shared" si="28" ref="G26:G32">BU6</f>
        <v>1.0510193056746553</v>
      </c>
      <c r="H26" s="114">
        <f aca="true" t="shared" si="29" ref="H26:H32">E6</f>
        <v>3949</v>
      </c>
      <c r="I26" s="71"/>
      <c r="J26" s="155">
        <f>(E26/F26)*G26*H26</f>
        <v>6117.34199047487</v>
      </c>
      <c r="K26" s="155">
        <f>D26/J26</f>
        <v>0</v>
      </c>
      <c r="L26" s="154">
        <f aca="true" t="shared" si="30" ref="L26:L32">C26+K26</f>
        <v>1.4513788106194736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105"/>
      <c r="AN26" s="252"/>
      <c r="AO26" s="254"/>
      <c r="AP26" s="3"/>
      <c r="AQ26" s="99"/>
      <c r="AR26" s="3"/>
      <c r="AS26" s="3"/>
      <c r="AT26" s="3"/>
      <c r="AU26" s="156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1"/>
      <c r="BV26" s="3"/>
      <c r="BW26" s="3"/>
      <c r="BX26" s="3"/>
      <c r="BY26" s="3"/>
    </row>
    <row r="27" spans="1:77" ht="12.75">
      <c r="A27" s="5">
        <v>2</v>
      </c>
      <c r="B27" s="18" t="s">
        <v>9</v>
      </c>
      <c r="C27" s="153">
        <f t="shared" si="27"/>
        <v>1.0123135416953486</v>
      </c>
      <c r="D27" s="111">
        <v>0</v>
      </c>
      <c r="E27" s="189"/>
      <c r="F27" s="186"/>
      <c r="G27" s="153">
        <f t="shared" si="28"/>
        <v>1.0261014996286117</v>
      </c>
      <c r="H27" s="114">
        <f t="shared" si="29"/>
        <v>525</v>
      </c>
      <c r="I27" s="71"/>
      <c r="J27" s="155">
        <f>(E26/F26)*G27*H27</f>
        <v>793.9891339621912</v>
      </c>
      <c r="K27" s="155">
        <f aca="true" t="shared" si="31" ref="K27:K32">D27/J27</f>
        <v>0</v>
      </c>
      <c r="L27" s="154">
        <f t="shared" si="30"/>
        <v>1.0123135416953486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105"/>
      <c r="AN27" s="253"/>
      <c r="AO27" s="255"/>
      <c r="AP27" s="3"/>
      <c r="AQ27" s="99"/>
      <c r="AR27" s="3"/>
      <c r="AS27" s="3"/>
      <c r="AT27" s="3"/>
      <c r="AU27" s="156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1"/>
      <c r="BV27" s="3"/>
      <c r="BW27" s="3"/>
      <c r="BX27" s="3"/>
      <c r="BY27" s="3"/>
    </row>
    <row r="28" spans="1:77" ht="12.75">
      <c r="A28" s="5">
        <v>3</v>
      </c>
      <c r="B28" s="18" t="s">
        <v>10</v>
      </c>
      <c r="C28" s="153">
        <f t="shared" si="27"/>
        <v>0.5732159432953517</v>
      </c>
      <c r="D28" s="111">
        <v>0</v>
      </c>
      <c r="E28" s="189"/>
      <c r="F28" s="186"/>
      <c r="G28" s="153">
        <f t="shared" si="28"/>
        <v>0.9195690040921686</v>
      </c>
      <c r="H28" s="114">
        <f t="shared" si="29"/>
        <v>937</v>
      </c>
      <c r="I28" s="71"/>
      <c r="J28" s="155">
        <f>(E26/F26)*G28*H28</f>
        <v>1269.9565086709079</v>
      </c>
      <c r="K28" s="155">
        <f t="shared" si="31"/>
        <v>0</v>
      </c>
      <c r="L28" s="154">
        <f t="shared" si="30"/>
        <v>0.5732159432953517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05"/>
      <c r="AN28" s="253"/>
      <c r="AO28" s="255"/>
      <c r="AP28" s="3"/>
      <c r="AQ28" s="99"/>
      <c r="AR28" s="3"/>
      <c r="AS28" s="3"/>
      <c r="AT28" s="3"/>
      <c r="AU28" s="156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1"/>
      <c r="BV28" s="3"/>
      <c r="BW28" s="3"/>
      <c r="BX28" s="3"/>
      <c r="BY28" s="3"/>
    </row>
    <row r="29" spans="1:77" ht="12.75">
      <c r="A29" s="5">
        <v>4</v>
      </c>
      <c r="B29" s="18" t="s">
        <v>11</v>
      </c>
      <c r="C29" s="153">
        <f t="shared" si="27"/>
        <v>0.39860597238703604</v>
      </c>
      <c r="D29" s="111">
        <v>0</v>
      </c>
      <c r="E29" s="189"/>
      <c r="F29" s="186"/>
      <c r="G29" s="153">
        <f t="shared" si="28"/>
        <v>0.9377737116822186</v>
      </c>
      <c r="H29" s="114">
        <f t="shared" si="29"/>
        <v>919</v>
      </c>
      <c r="I29" s="71"/>
      <c r="J29" s="155">
        <f>(E26/F26)*G29*H29</f>
        <v>1270.2186903328727</v>
      </c>
      <c r="K29" s="155">
        <f t="shared" si="31"/>
        <v>0</v>
      </c>
      <c r="L29" s="154">
        <f t="shared" si="30"/>
        <v>0.39860597238703604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05"/>
      <c r="AN29" s="253"/>
      <c r="AO29" s="255"/>
      <c r="AP29" s="3"/>
      <c r="AQ29" s="99"/>
      <c r="AR29" s="3"/>
      <c r="AS29" s="3"/>
      <c r="AT29" s="3"/>
      <c r="AU29" s="156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1"/>
      <c r="BV29" s="3"/>
      <c r="BW29" s="3"/>
      <c r="BX29" s="3"/>
      <c r="BY29" s="3"/>
    </row>
    <row r="30" spans="1:77" ht="12.75">
      <c r="A30" s="5">
        <v>5</v>
      </c>
      <c r="B30" s="18" t="s">
        <v>12</v>
      </c>
      <c r="C30" s="153">
        <f t="shared" si="27"/>
        <v>0.2896202627128431</v>
      </c>
      <c r="D30" s="111">
        <v>167.5</v>
      </c>
      <c r="E30" s="189"/>
      <c r="F30" s="186"/>
      <c r="G30" s="153">
        <f t="shared" si="28"/>
        <v>0.9155455081984532</v>
      </c>
      <c r="H30" s="114">
        <f t="shared" si="29"/>
        <v>989</v>
      </c>
      <c r="I30" s="71"/>
      <c r="J30" s="155">
        <f>(E26/F26)*G30*H30</f>
        <v>1334.569394809837</v>
      </c>
      <c r="K30" s="155">
        <f t="shared" si="31"/>
        <v>0.12550864769671052</v>
      </c>
      <c r="L30" s="154">
        <f t="shared" si="30"/>
        <v>0.4151289104095536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105"/>
      <c r="AN30" s="253"/>
      <c r="AO30" s="255"/>
      <c r="AP30" s="3"/>
      <c r="AQ30" s="99"/>
      <c r="AR30" s="3"/>
      <c r="AS30" s="3"/>
      <c r="AT30" s="3"/>
      <c r="AU30" s="156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1"/>
      <c r="BV30" s="3"/>
      <c r="BW30" s="3"/>
      <c r="BX30" s="3"/>
      <c r="BY30" s="3"/>
    </row>
    <row r="31" spans="1:77" ht="12.75">
      <c r="A31" s="5">
        <v>6</v>
      </c>
      <c r="B31" s="18" t="s">
        <v>13</v>
      </c>
      <c r="C31" s="153">
        <f t="shared" si="27"/>
        <v>0.6063680870957366</v>
      </c>
      <c r="D31" s="111">
        <v>0</v>
      </c>
      <c r="E31" s="189"/>
      <c r="F31" s="186"/>
      <c r="G31" s="153">
        <f t="shared" si="28"/>
        <v>1.001635319226468</v>
      </c>
      <c r="H31" s="114">
        <f t="shared" si="29"/>
        <v>846</v>
      </c>
      <c r="I31" s="71"/>
      <c r="J31" s="155">
        <f>(E26/F26)*G31*H31</f>
        <v>1248.9496376326936</v>
      </c>
      <c r="K31" s="155">
        <f t="shared" si="31"/>
        <v>0</v>
      </c>
      <c r="L31" s="154">
        <f t="shared" si="30"/>
        <v>0.6063680870957366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105"/>
      <c r="AN31" s="253"/>
      <c r="AO31" s="255"/>
      <c r="AP31" s="3"/>
      <c r="AQ31" s="99"/>
      <c r="AR31" s="3"/>
      <c r="AS31" s="3"/>
      <c r="AT31" s="3"/>
      <c r="AU31" s="156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1"/>
      <c r="BV31" s="3"/>
      <c r="BW31" s="3"/>
      <c r="BX31" s="3"/>
      <c r="BY31" s="3"/>
    </row>
    <row r="32" spans="1:77" ht="13.5" thickBot="1">
      <c r="A32" s="5">
        <v>7</v>
      </c>
      <c r="B32" s="18" t="s">
        <v>14</v>
      </c>
      <c r="C32" s="153">
        <f t="shared" si="27"/>
        <v>0.6088289072653221</v>
      </c>
      <c r="D32" s="111">
        <v>0</v>
      </c>
      <c r="E32" s="189"/>
      <c r="F32" s="186"/>
      <c r="G32" s="153">
        <f t="shared" si="28"/>
        <v>0.9990729315077788</v>
      </c>
      <c r="H32" s="114">
        <f t="shared" si="29"/>
        <v>525</v>
      </c>
      <c r="I32" s="71"/>
      <c r="J32" s="155">
        <f>(E26/F26)*G32*H32</f>
        <v>773.0746441166293</v>
      </c>
      <c r="K32" s="155">
        <f t="shared" si="31"/>
        <v>0</v>
      </c>
      <c r="L32" s="154">
        <f t="shared" si="30"/>
        <v>0.6088289072653221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105"/>
      <c r="AN32" s="253"/>
      <c r="AO32" s="255"/>
      <c r="AP32" s="3"/>
      <c r="AQ32" s="99"/>
      <c r="AR32" s="3"/>
      <c r="AS32" s="3"/>
      <c r="AT32" s="3"/>
      <c r="AU32" s="156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1"/>
      <c r="BV32" s="3"/>
      <c r="BW32" s="3"/>
      <c r="BX32" s="3"/>
      <c r="BY32" s="3"/>
    </row>
    <row r="33" spans="1:77" ht="13.5" thickBot="1">
      <c r="A33" s="12"/>
      <c r="B33" s="14"/>
      <c r="C33" s="71"/>
      <c r="D33" s="112">
        <f>SUM(D26:D32)</f>
        <v>167.5</v>
      </c>
      <c r="E33" s="190"/>
      <c r="F33" s="187"/>
      <c r="G33" s="71"/>
      <c r="H33" s="115">
        <f>SUM(H26:H32)</f>
        <v>8690</v>
      </c>
      <c r="I33" s="71"/>
      <c r="J33" s="71"/>
      <c r="K33" s="71"/>
      <c r="L33" s="15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105"/>
      <c r="AN33" s="253"/>
      <c r="AO33" s="255"/>
      <c r="AP33" s="3"/>
      <c r="AQ33" s="33"/>
      <c r="AR33" s="3"/>
      <c r="AS33" s="3"/>
      <c r="AT33" s="3"/>
      <c r="AU33" s="156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1"/>
      <c r="BV33" s="3"/>
      <c r="BW33" s="3"/>
      <c r="BX33" s="3"/>
      <c r="BY33" s="3"/>
    </row>
    <row r="34" spans="6:8" ht="12.75">
      <c r="F34" s="217"/>
      <c r="G34" s="217"/>
      <c r="H34" s="217"/>
    </row>
    <row r="36" ht="12.75">
      <c r="L36" t="s">
        <v>153</v>
      </c>
    </row>
    <row r="37" spans="2:17" ht="12.75">
      <c r="B37" s="200" t="s">
        <v>65</v>
      </c>
      <c r="K37" s="3"/>
      <c r="L37" t="s">
        <v>138</v>
      </c>
      <c r="M37" s="3"/>
      <c r="N37" s="3"/>
      <c r="O37" s="3"/>
      <c r="P37" s="3"/>
      <c r="Q37" s="3"/>
    </row>
    <row r="38" spans="2:17" ht="12.75">
      <c r="B38" s="230" t="s">
        <v>164</v>
      </c>
      <c r="C38" s="159"/>
      <c r="D38" s="159"/>
      <c r="E38" s="159"/>
      <c r="F38" s="159"/>
      <c r="G38" s="159"/>
      <c r="H38" s="159"/>
      <c r="I38" s="159"/>
      <c r="J38" s="159"/>
      <c r="K38" s="3"/>
      <c r="L38" s="3"/>
      <c r="M38" s="3"/>
      <c r="N38" s="3"/>
      <c r="O38" s="3"/>
      <c r="P38" s="3"/>
      <c r="Q38" s="3"/>
    </row>
    <row r="39" spans="1:17" ht="12.75">
      <c r="A39" s="3"/>
      <c r="B39" s="3"/>
      <c r="C39" s="3"/>
      <c r="D39" s="3"/>
      <c r="E39" s="3"/>
      <c r="F39" s="3"/>
      <c r="G39" s="3"/>
      <c r="H39" s="3"/>
      <c r="I39" s="219"/>
      <c r="J39" s="3"/>
      <c r="K39" s="220"/>
      <c r="L39" s="3"/>
      <c r="M39" s="3"/>
      <c r="N39" s="3"/>
      <c r="O39" s="3"/>
      <c r="P39" s="3"/>
      <c r="Q39" s="3"/>
    </row>
    <row r="40" spans="1:18" ht="12.75">
      <c r="A40" s="3"/>
      <c r="B40" s="130"/>
      <c r="C40" s="256" t="s">
        <v>130</v>
      </c>
      <c r="D40" s="256" t="s">
        <v>131</v>
      </c>
      <c r="E40" s="257" t="s">
        <v>132</v>
      </c>
      <c r="F40" s="130"/>
      <c r="G40" s="130"/>
      <c r="H40" s="258" t="s">
        <v>116</v>
      </c>
      <c r="I40" s="257" t="s">
        <v>118</v>
      </c>
      <c r="J40" s="259" t="s">
        <v>117</v>
      </c>
      <c r="K40" s="132"/>
      <c r="L40" s="236" t="s">
        <v>139</v>
      </c>
      <c r="M40" s="238" t="s">
        <v>125</v>
      </c>
      <c r="N40" s="131"/>
      <c r="O40" s="174"/>
      <c r="P40" s="240" t="s">
        <v>162</v>
      </c>
      <c r="Q40" s="240" t="s">
        <v>166</v>
      </c>
      <c r="R40" s="242" t="s">
        <v>163</v>
      </c>
    </row>
    <row r="41" spans="1:18" ht="133.5" customHeight="1">
      <c r="A41" s="3"/>
      <c r="B41" s="194" t="s">
        <v>126</v>
      </c>
      <c r="C41" s="239"/>
      <c r="D41" s="239"/>
      <c r="E41" s="239"/>
      <c r="F41" s="193" t="s">
        <v>134</v>
      </c>
      <c r="G41" s="193" t="s">
        <v>135</v>
      </c>
      <c r="H41" s="239"/>
      <c r="I41" s="239"/>
      <c r="J41" s="260"/>
      <c r="K41" s="133" t="s">
        <v>133</v>
      </c>
      <c r="L41" s="237"/>
      <c r="M41" s="239"/>
      <c r="N41" s="173" t="s">
        <v>136</v>
      </c>
      <c r="O41" s="172" t="s">
        <v>137</v>
      </c>
      <c r="P41" s="241"/>
      <c r="Q41" s="241"/>
      <c r="R41" s="242"/>
    </row>
    <row r="42" spans="1:18" ht="12.75">
      <c r="A42" s="3"/>
      <c r="B42" s="203"/>
      <c r="C42" s="134">
        <v>1</v>
      </c>
      <c r="D42" s="135">
        <v>2</v>
      </c>
      <c r="E42" s="135">
        <v>3</v>
      </c>
      <c r="F42" s="135">
        <v>4</v>
      </c>
      <c r="G42" s="135">
        <v>5</v>
      </c>
      <c r="H42" s="136">
        <v>6</v>
      </c>
      <c r="I42" s="136">
        <v>7</v>
      </c>
      <c r="J42" s="136">
        <v>8</v>
      </c>
      <c r="K42" s="136">
        <v>9</v>
      </c>
      <c r="L42" s="136">
        <v>10</v>
      </c>
      <c r="M42" s="135">
        <v>11</v>
      </c>
      <c r="N42" s="135">
        <v>12</v>
      </c>
      <c r="O42" s="135">
        <v>13</v>
      </c>
      <c r="P42" s="208">
        <v>14</v>
      </c>
      <c r="Q42" s="208">
        <v>15</v>
      </c>
      <c r="R42" s="229">
        <v>16</v>
      </c>
    </row>
    <row r="43" spans="1:18" ht="12.75">
      <c r="A43" s="3"/>
      <c r="B43" s="137" t="s">
        <v>8</v>
      </c>
      <c r="C43" s="138">
        <f aca="true" t="shared" si="32" ref="C43:C49">L26</f>
        <v>1.4513788106194736</v>
      </c>
      <c r="D43" s="138">
        <f aca="true" t="shared" si="33" ref="D43:D49">BU6</f>
        <v>1.0510193056746553</v>
      </c>
      <c r="E43" s="157">
        <f>E6</f>
        <v>3949</v>
      </c>
      <c r="F43" s="138">
        <f aca="true" t="shared" si="34" ref="F43:F49">C43*D43*E43</f>
        <v>6023.911814592527</v>
      </c>
      <c r="G43" s="160">
        <f>D43*E43</f>
        <v>4150.475238109214</v>
      </c>
      <c r="H43" s="243">
        <v>17863.9</v>
      </c>
      <c r="I43" s="245">
        <f>E13</f>
        <v>8690</v>
      </c>
      <c r="J43" s="245">
        <f>BV6</f>
        <v>12808.099999999999</v>
      </c>
      <c r="K43" s="246">
        <f>H43/(J43/I43)</f>
        <v>12120.243517773912</v>
      </c>
      <c r="L43" s="178">
        <f>(K43+F50)/G50</f>
        <v>2.386187982684294</v>
      </c>
      <c r="M43" s="139">
        <f>L43-C43</f>
        <v>0.9348091720648204</v>
      </c>
      <c r="N43" s="247">
        <f>J43/I43</f>
        <v>1.4738895281933255</v>
      </c>
      <c r="O43" s="164">
        <f>N43*M43*D43*E43</f>
        <v>5718.547401353173</v>
      </c>
      <c r="P43" s="209">
        <v>4277.4</v>
      </c>
      <c r="Q43" s="209">
        <v>5718.6</v>
      </c>
      <c r="R43" s="233">
        <f>Q43-P43</f>
        <v>1441.2000000000007</v>
      </c>
    </row>
    <row r="44" spans="1:18" ht="12.75">
      <c r="A44" s="3"/>
      <c r="B44" s="116" t="s">
        <v>9</v>
      </c>
      <c r="C44" s="138">
        <f t="shared" si="32"/>
        <v>1.0123135416953486</v>
      </c>
      <c r="D44" s="138">
        <f t="shared" si="33"/>
        <v>1.0261014996286117</v>
      </c>
      <c r="E44" s="157">
        <f aca="true" t="shared" si="35" ref="E44:E49">E7</f>
        <v>525</v>
      </c>
      <c r="F44" s="138">
        <f t="shared" si="34"/>
        <v>545.336632694673</v>
      </c>
      <c r="G44" s="160">
        <f aca="true" t="shared" si="36" ref="G44:G49">D44*E44</f>
        <v>538.7032873050211</v>
      </c>
      <c r="H44" s="244"/>
      <c r="I44" s="244"/>
      <c r="J44" s="244"/>
      <c r="K44" s="244"/>
      <c r="L44" s="179"/>
      <c r="M44" s="139">
        <f>L43-C44</f>
        <v>1.3738744409889454</v>
      </c>
      <c r="N44" s="244"/>
      <c r="O44" s="164">
        <f>N43*M44*D44*E44</f>
        <v>1090.8413775736024</v>
      </c>
      <c r="P44" s="209">
        <v>729.6</v>
      </c>
      <c r="Q44" s="209">
        <v>1090.8</v>
      </c>
      <c r="R44" s="233">
        <f aca="true" t="shared" si="37" ref="R44:R50">Q44-P44</f>
        <v>361.19999999999993</v>
      </c>
    </row>
    <row r="45" spans="1:18" ht="12.75">
      <c r="A45" s="3"/>
      <c r="B45" s="116" t="s">
        <v>10</v>
      </c>
      <c r="C45" s="138">
        <f t="shared" si="32"/>
        <v>0.5732159432953517</v>
      </c>
      <c r="D45" s="138">
        <f t="shared" si="33"/>
        <v>0.9195690040921686</v>
      </c>
      <c r="E45" s="157">
        <f t="shared" si="35"/>
        <v>937</v>
      </c>
      <c r="F45" s="138">
        <f t="shared" si="34"/>
        <v>493.9035824171905</v>
      </c>
      <c r="G45" s="160">
        <f t="shared" si="36"/>
        <v>861.6361568343619</v>
      </c>
      <c r="H45" s="244"/>
      <c r="I45" s="244"/>
      <c r="J45" s="244"/>
      <c r="K45" s="244"/>
      <c r="L45" s="179"/>
      <c r="M45" s="139">
        <f>L43-C45</f>
        <v>1.8129720393889421</v>
      </c>
      <c r="N45" s="244"/>
      <c r="O45" s="164">
        <f>N43*M45*D45*E45</f>
        <v>2302.395641460357</v>
      </c>
      <c r="P45" s="209">
        <v>2002.9</v>
      </c>
      <c r="Q45" s="209">
        <v>2302.4</v>
      </c>
      <c r="R45" s="233">
        <f t="shared" si="37"/>
        <v>299.5</v>
      </c>
    </row>
    <row r="46" spans="1:18" ht="12.75">
      <c r="A46" s="3"/>
      <c r="B46" s="116" t="s">
        <v>11</v>
      </c>
      <c r="C46" s="138">
        <f t="shared" si="32"/>
        <v>0.39860597238703604</v>
      </c>
      <c r="D46" s="138">
        <f t="shared" si="33"/>
        <v>0.9377737116822186</v>
      </c>
      <c r="E46" s="157">
        <f t="shared" si="35"/>
        <v>919</v>
      </c>
      <c r="F46" s="138">
        <f t="shared" si="34"/>
        <v>343.52422384393935</v>
      </c>
      <c r="G46" s="160">
        <f t="shared" si="36"/>
        <v>861.8140410359589</v>
      </c>
      <c r="H46" s="244"/>
      <c r="I46" s="244"/>
      <c r="J46" s="244"/>
      <c r="K46" s="244"/>
      <c r="L46" s="179"/>
      <c r="M46" s="139">
        <f>L43-C46</f>
        <v>1.987582010297258</v>
      </c>
      <c r="N46" s="244"/>
      <c r="O46" s="164">
        <f>N43*M46*D46*E46</f>
        <v>2524.6638180489613</v>
      </c>
      <c r="P46" s="209">
        <v>2123.7</v>
      </c>
      <c r="Q46" s="209">
        <v>2524.7</v>
      </c>
      <c r="R46" s="233">
        <f t="shared" si="37"/>
        <v>401</v>
      </c>
    </row>
    <row r="47" spans="1:18" ht="12.75">
      <c r="A47" s="3"/>
      <c r="B47" s="116" t="s">
        <v>12</v>
      </c>
      <c r="C47" s="138">
        <f t="shared" si="32"/>
        <v>0.4151289104095536</v>
      </c>
      <c r="D47" s="138">
        <f t="shared" si="33"/>
        <v>0.9155455081984532</v>
      </c>
      <c r="E47" s="157">
        <f t="shared" si="35"/>
        <v>989</v>
      </c>
      <c r="F47" s="138">
        <f t="shared" si="34"/>
        <v>375.8886457470482</v>
      </c>
      <c r="G47" s="160">
        <f t="shared" si="36"/>
        <v>905.4745076082702</v>
      </c>
      <c r="H47" s="244"/>
      <c r="I47" s="244"/>
      <c r="J47" s="244"/>
      <c r="K47" s="244"/>
      <c r="L47" s="179"/>
      <c r="M47" s="139">
        <f>L43-C47</f>
        <v>1.9710590722747403</v>
      </c>
      <c r="N47" s="244"/>
      <c r="O47" s="164">
        <f>N43*M47*D47*E47</f>
        <v>2630.5151132201395</v>
      </c>
      <c r="P47" s="209">
        <v>2315.8</v>
      </c>
      <c r="Q47" s="209">
        <v>2630.5</v>
      </c>
      <c r="R47" s="233">
        <f t="shared" si="37"/>
        <v>314.6999999999998</v>
      </c>
    </row>
    <row r="48" spans="1:18" ht="12.75">
      <c r="A48" s="3"/>
      <c r="B48" s="116" t="s">
        <v>13</v>
      </c>
      <c r="C48" s="138">
        <f t="shared" si="32"/>
        <v>0.6063680870957366</v>
      </c>
      <c r="D48" s="138">
        <f t="shared" si="33"/>
        <v>1.001635319226468</v>
      </c>
      <c r="E48" s="157">
        <f t="shared" si="35"/>
        <v>846</v>
      </c>
      <c r="F48" s="138">
        <f t="shared" si="34"/>
        <v>513.8262998439013</v>
      </c>
      <c r="G48" s="160">
        <f t="shared" si="36"/>
        <v>847.3834800655919</v>
      </c>
      <c r="H48" s="244"/>
      <c r="I48" s="244"/>
      <c r="J48" s="244"/>
      <c r="K48" s="244"/>
      <c r="L48" s="179"/>
      <c r="M48" s="139">
        <f>L43-C48</f>
        <v>1.7798198955885574</v>
      </c>
      <c r="N48" s="244"/>
      <c r="O48" s="164">
        <f>N43*M48*D48*E48</f>
        <v>2222.905413646787</v>
      </c>
      <c r="P48" s="209">
        <v>1928.3</v>
      </c>
      <c r="Q48" s="209">
        <v>2222.9</v>
      </c>
      <c r="R48" s="233">
        <f t="shared" si="37"/>
        <v>294.60000000000014</v>
      </c>
    </row>
    <row r="49" spans="1:18" ht="12.75">
      <c r="A49" s="3"/>
      <c r="B49" s="116" t="s">
        <v>14</v>
      </c>
      <c r="C49" s="138">
        <f t="shared" si="32"/>
        <v>0.6088289072653221</v>
      </c>
      <c r="D49" s="138">
        <f t="shared" si="33"/>
        <v>0.9990729315077788</v>
      </c>
      <c r="E49" s="157">
        <f t="shared" si="35"/>
        <v>525</v>
      </c>
      <c r="F49" s="138">
        <f t="shared" si="34"/>
        <v>319.33885261332756</v>
      </c>
      <c r="G49" s="160">
        <f t="shared" si="36"/>
        <v>524.5132890415839</v>
      </c>
      <c r="H49" s="239"/>
      <c r="I49" s="239"/>
      <c r="J49" s="239"/>
      <c r="K49" s="239"/>
      <c r="L49" s="180"/>
      <c r="M49" s="139">
        <f>L43-C49</f>
        <v>1.7773590754189719</v>
      </c>
      <c r="N49" s="239"/>
      <c r="O49" s="164">
        <f>N43*M49*D49*E49</f>
        <v>1374.0312346969831</v>
      </c>
      <c r="P49" s="209">
        <v>1191.7</v>
      </c>
      <c r="Q49" s="209">
        <v>1374</v>
      </c>
      <c r="R49" s="233">
        <f t="shared" si="37"/>
        <v>182.29999999999995</v>
      </c>
    </row>
    <row r="50" spans="2:18" ht="12.75">
      <c r="B50" s="142" t="s">
        <v>66</v>
      </c>
      <c r="C50" s="141"/>
      <c r="D50" s="141"/>
      <c r="E50" s="227">
        <f>SUM(E43:E49)</f>
        <v>8690</v>
      </c>
      <c r="F50" s="165">
        <f>SUM(F43:F49)</f>
        <v>8615.730051752607</v>
      </c>
      <c r="G50" s="166">
        <f>SUM(G43:G49)</f>
        <v>8690.000000000002</v>
      </c>
      <c r="H50" s="141"/>
      <c r="I50" s="141"/>
      <c r="J50" s="141"/>
      <c r="K50" s="141"/>
      <c r="L50" s="141"/>
      <c r="M50" s="141"/>
      <c r="N50" s="141"/>
      <c r="O50" s="171">
        <f>SUM(O43:O49)</f>
        <v>17863.9</v>
      </c>
      <c r="P50" s="210">
        <f>SUM(P43:P49)</f>
        <v>14569.399999999998</v>
      </c>
      <c r="Q50" s="210">
        <f>SUM(Q43:Q49)</f>
        <v>17863.9</v>
      </c>
      <c r="R50" s="233">
        <f t="shared" si="37"/>
        <v>3294.5000000000036</v>
      </c>
    </row>
    <row r="51" spans="1:1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34"/>
    </row>
  </sheetData>
  <sheetProtection/>
  <mergeCells count="74">
    <mergeCell ref="R40:R41"/>
    <mergeCell ref="L40:L41"/>
    <mergeCell ref="M40:M41"/>
    <mergeCell ref="P40:P41"/>
    <mergeCell ref="H43:H49"/>
    <mergeCell ref="I43:I49"/>
    <mergeCell ref="J43:J49"/>
    <mergeCell ref="K43:K49"/>
    <mergeCell ref="N43:N49"/>
    <mergeCell ref="Q40:Q41"/>
    <mergeCell ref="AX6:AX13"/>
    <mergeCell ref="BV6:BV13"/>
    <mergeCell ref="AN26:AN33"/>
    <mergeCell ref="AO26:AO33"/>
    <mergeCell ref="C40:C41"/>
    <mergeCell ref="D40:D41"/>
    <mergeCell ref="E40:E41"/>
    <mergeCell ref="H40:H41"/>
    <mergeCell ref="I40:I41"/>
    <mergeCell ref="J40:J41"/>
    <mergeCell ref="BX3:BX4"/>
    <mergeCell ref="BY3:BY4"/>
    <mergeCell ref="AQ4:AS4"/>
    <mergeCell ref="BK4:BM4"/>
    <mergeCell ref="L6:L13"/>
    <mergeCell ref="T6:T13"/>
    <mergeCell ref="AA6:AA13"/>
    <mergeCell ref="AH6:AH13"/>
    <mergeCell ref="AJ6:AJ13"/>
    <mergeCell ref="AV6:AV13"/>
    <mergeCell ref="BR3:BR4"/>
    <mergeCell ref="BS3:BS4"/>
    <mergeCell ref="BT3:BT4"/>
    <mergeCell ref="BU3:BU4"/>
    <mergeCell ref="BV3:BV4"/>
    <mergeCell ref="BW3:BW4"/>
    <mergeCell ref="BI3:BI4"/>
    <mergeCell ref="BJ3:BJ4"/>
    <mergeCell ref="BN3:BN4"/>
    <mergeCell ref="BO3:BO4"/>
    <mergeCell ref="BP3:BP4"/>
    <mergeCell ref="BQ3:BQ4"/>
    <mergeCell ref="BC3:BC4"/>
    <mergeCell ref="BD3:BD4"/>
    <mergeCell ref="BE3:BE4"/>
    <mergeCell ref="BF3:BF4"/>
    <mergeCell ref="BG3:BG4"/>
    <mergeCell ref="BH3:BH4"/>
    <mergeCell ref="AW3:AW4"/>
    <mergeCell ref="AX3:AX4"/>
    <mergeCell ref="AY3:AY4"/>
    <mergeCell ref="AZ3:AZ4"/>
    <mergeCell ref="BA3:BA4"/>
    <mergeCell ref="BB3:BB4"/>
    <mergeCell ref="AN3:AN4"/>
    <mergeCell ref="AO3:AO4"/>
    <mergeCell ref="AP3:AP4"/>
    <mergeCell ref="AT3:AT4"/>
    <mergeCell ref="AU3:AU4"/>
    <mergeCell ref="AV3:AV4"/>
    <mergeCell ref="AB3:AH3"/>
    <mergeCell ref="AI3:AI4"/>
    <mergeCell ref="AJ3:AJ4"/>
    <mergeCell ref="AK3:AK4"/>
    <mergeCell ref="AL3:AL4"/>
    <mergeCell ref="AM3:AM4"/>
    <mergeCell ref="C1:U1"/>
    <mergeCell ref="A3:A4"/>
    <mergeCell ref="B3:B4"/>
    <mergeCell ref="C3:D3"/>
    <mergeCell ref="E3:E4"/>
    <mergeCell ref="F3:L3"/>
    <mergeCell ref="M3:T3"/>
    <mergeCell ref="U3:AA3"/>
  </mergeCells>
  <printOptions/>
  <pageMargins left="0.7874015748031497" right="0" top="0.5905511811023623" bottom="0.3937007874015748" header="0.5118110236220472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Загария Марина Васильевна</dc:creator>
  <cp:keywords/>
  <dc:description/>
  <cp:lastModifiedBy>duma</cp:lastModifiedBy>
  <cp:lastPrinted>2017-04-07T03:29:36Z</cp:lastPrinted>
  <dcterms:created xsi:type="dcterms:W3CDTF">2008-12-08T01:33:52Z</dcterms:created>
  <dcterms:modified xsi:type="dcterms:W3CDTF">2017-04-26T08:11:02Z</dcterms:modified>
  <cp:category/>
  <cp:version/>
  <cp:contentType/>
  <cp:contentStatus/>
</cp:coreProperties>
</file>